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Лист1!$A$1:$J$99</definedName>
  </definedNames>
  <calcPr calcId="144525"/>
</workbook>
</file>

<file path=xl/calcChain.xml><?xml version="1.0" encoding="utf-8"?>
<calcChain xmlns="http://schemas.openxmlformats.org/spreadsheetml/2006/main">
  <c r="N3" i="2" l="1"/>
  <c r="O3" i="2" s="1"/>
  <c r="O62" i="1" l="1"/>
  <c r="P62" i="1"/>
  <c r="Q62" i="1" s="1"/>
  <c r="V53" i="1"/>
  <c r="V52" i="1"/>
  <c r="V51" i="1"/>
  <c r="G15" i="1" l="1"/>
  <c r="J56" i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O22" i="2" s="1"/>
  <c r="M5" i="2"/>
  <c r="M6" i="2" s="1"/>
  <c r="O4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3" i="2"/>
  <c r="K3" i="2" s="1"/>
  <c r="I5" i="2"/>
  <c r="K4" i="2"/>
  <c r="F4" i="2"/>
  <c r="G4" i="2" s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3" i="2"/>
  <c r="G3" i="2"/>
  <c r="E5" i="2"/>
  <c r="E6" i="2" s="1"/>
  <c r="B4" i="2"/>
  <c r="C4" i="2"/>
  <c r="B5" i="2"/>
  <c r="C5" i="2" s="1"/>
  <c r="B6" i="2"/>
  <c r="C6" i="2"/>
  <c r="B7" i="2"/>
  <c r="C7" i="2" s="1"/>
  <c r="B8" i="2"/>
  <c r="C8" i="2"/>
  <c r="B9" i="2"/>
  <c r="C9" i="2" s="1"/>
  <c r="B10" i="2"/>
  <c r="C10" i="2"/>
  <c r="B11" i="2"/>
  <c r="C11" i="2" s="1"/>
  <c r="B12" i="2"/>
  <c r="C12" i="2"/>
  <c r="B13" i="2"/>
  <c r="C13" i="2" s="1"/>
  <c r="B14" i="2"/>
  <c r="C14" i="2"/>
  <c r="B15" i="2"/>
  <c r="C15" i="2" s="1"/>
  <c r="B16" i="2"/>
  <c r="C16" i="2"/>
  <c r="B17" i="2"/>
  <c r="C17" i="2" s="1"/>
  <c r="B18" i="2"/>
  <c r="C18" i="2"/>
  <c r="B19" i="2"/>
  <c r="C19" i="2" s="1"/>
  <c r="B20" i="2"/>
  <c r="C20" i="2"/>
  <c r="B21" i="2"/>
  <c r="C21" i="2" s="1"/>
  <c r="B22" i="2"/>
  <c r="C22" i="2"/>
  <c r="C3" i="2"/>
  <c r="B3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5" i="2"/>
  <c r="J101" i="1"/>
  <c r="I80" i="1"/>
  <c r="D70" i="1"/>
  <c r="E71" i="1" s="1"/>
  <c r="O6" i="2" l="1"/>
  <c r="M7" i="2"/>
  <c r="O5" i="2"/>
  <c r="K5" i="2"/>
  <c r="I6" i="2"/>
  <c r="E7" i="2"/>
  <c r="G6" i="2"/>
  <c r="G5" i="2"/>
  <c r="I17" i="1"/>
  <c r="J61" i="1" s="1"/>
  <c r="F31" i="1"/>
  <c r="I26" i="1"/>
  <c r="G32" i="1" s="1"/>
  <c r="I76" i="1"/>
  <c r="I6" i="1"/>
  <c r="J4" i="1" s="1"/>
  <c r="J2" i="1" s="1"/>
  <c r="I85" i="1" l="1"/>
  <c r="I78" i="1" s="1"/>
  <c r="I64" i="1" s="1"/>
  <c r="J102" i="1"/>
  <c r="O7" i="2"/>
  <c r="M8" i="2"/>
  <c r="K6" i="2"/>
  <c r="I7" i="2"/>
  <c r="G7" i="2"/>
  <c r="E8" i="2"/>
  <c r="I75" i="1"/>
  <c r="C44" i="1"/>
  <c r="F30" i="1"/>
  <c r="E34" i="1" s="1"/>
  <c r="I74" i="1" s="1"/>
  <c r="O8" i="2" l="1"/>
  <c r="M9" i="2"/>
  <c r="I8" i="2"/>
  <c r="K7" i="2"/>
  <c r="G8" i="2"/>
  <c r="E9" i="2"/>
  <c r="F37" i="1"/>
  <c r="F39" i="1" s="1"/>
  <c r="F67" i="1" s="1"/>
  <c r="D66" i="1" s="1"/>
  <c r="M10" i="2" l="1"/>
  <c r="O9" i="2"/>
  <c r="I9" i="2"/>
  <c r="K8" i="2"/>
  <c r="E10" i="2"/>
  <c r="G9" i="2"/>
  <c r="C68" i="1"/>
  <c r="F52" i="1"/>
  <c r="O10" i="2" l="1"/>
  <c r="M11" i="2"/>
  <c r="K9" i="2"/>
  <c r="I10" i="2"/>
  <c r="G10" i="2"/>
  <c r="E11" i="2"/>
  <c r="F55" i="1"/>
  <c r="F50" i="1" s="1"/>
  <c r="I63" i="1" s="1"/>
  <c r="B109" i="1" l="1"/>
  <c r="F102" i="1" s="1"/>
  <c r="O11" i="2"/>
  <c r="M12" i="2"/>
  <c r="K10" i="2"/>
  <c r="I11" i="2"/>
  <c r="G11" i="2"/>
  <c r="E12" i="2"/>
  <c r="M13" i="2" l="1"/>
  <c r="O12" i="2"/>
  <c r="I12" i="2"/>
  <c r="K11" i="2"/>
  <c r="G12" i="2"/>
  <c r="E13" i="2"/>
  <c r="M14" i="2" l="1"/>
  <c r="O13" i="2"/>
  <c r="I13" i="2"/>
  <c r="K12" i="2"/>
  <c r="E14" i="2"/>
  <c r="G13" i="2"/>
  <c r="M15" i="2" l="1"/>
  <c r="O14" i="2"/>
  <c r="K13" i="2"/>
  <c r="I14" i="2"/>
  <c r="G14" i="2"/>
  <c r="E15" i="2"/>
  <c r="O15" i="2" l="1"/>
  <c r="M16" i="2"/>
  <c r="K14" i="2"/>
  <c r="I15" i="2"/>
  <c r="G15" i="2"/>
  <c r="E16" i="2"/>
  <c r="O16" i="2" l="1"/>
  <c r="M17" i="2"/>
  <c r="I16" i="2"/>
  <c r="K15" i="2"/>
  <c r="E17" i="2"/>
  <c r="G16" i="2"/>
  <c r="M18" i="2" l="1"/>
  <c r="O17" i="2"/>
  <c r="I17" i="2"/>
  <c r="K16" i="2"/>
  <c r="E18" i="2"/>
  <c r="G17" i="2"/>
  <c r="O18" i="2" l="1"/>
  <c r="M19" i="2"/>
  <c r="K17" i="2"/>
  <c r="I18" i="2"/>
  <c r="E19" i="2"/>
  <c r="G18" i="2"/>
  <c r="O19" i="2" l="1"/>
  <c r="M20" i="2"/>
  <c r="K18" i="2"/>
  <c r="I19" i="2"/>
  <c r="G19" i="2"/>
  <c r="E20" i="2"/>
  <c r="O20" i="2" l="1"/>
  <c r="M21" i="2"/>
  <c r="I20" i="2"/>
  <c r="K19" i="2"/>
  <c r="G20" i="2"/>
  <c r="E21" i="2"/>
  <c r="O21" i="2" l="1"/>
  <c r="I21" i="2"/>
  <c r="K20" i="2"/>
  <c r="E22" i="2"/>
  <c r="G22" i="2" s="1"/>
  <c r="G21" i="2"/>
  <c r="K21" i="2" l="1"/>
  <c r="I22" i="2"/>
  <c r="K22" i="2" s="1"/>
</calcChain>
</file>

<file path=xl/comments1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0.85 – неизолированная металлическая труба, 
0.34 – изолированная
металлическая труба, 
0.17 – кирпичная труба с толщиной кладки до 0.5 метра.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Не менее 5 м!
Расстояние от колосниковой решетки до устья трубы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6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Газ: r=0.016,
 жидкое топливо: r=0.024, 
уголь: r=0.030,
 дрова: r=0.045. </t>
        </r>
      </text>
    </comment>
    <comment ref="B20" authorId="0">
      <text>
        <r>
          <rPr>
            <b/>
            <sz val="9"/>
            <color indexed="81"/>
            <rFont val="Tahoma"/>
            <family val="2"/>
            <charset val="204"/>
          </rPr>
          <t>влага</t>
        </r>
      </text>
    </comment>
    <comment ref="C20" authorId="0">
      <text>
        <r>
          <rPr>
            <b/>
            <sz val="9"/>
            <color indexed="81"/>
            <rFont val="Tahoma"/>
            <family val="2"/>
            <charset val="204"/>
          </rPr>
          <t>минеральная часть</t>
        </r>
      </text>
    </comment>
    <comment ref="D20" authorId="0">
      <text>
        <r>
          <rPr>
            <b/>
            <sz val="9"/>
            <color indexed="81"/>
            <rFont val="Tahoma"/>
            <family val="2"/>
            <charset val="204"/>
          </rPr>
          <t>Сера</t>
        </r>
      </text>
    </comment>
    <comment ref="E20" authorId="0">
      <text>
        <r>
          <rPr>
            <b/>
            <sz val="9"/>
            <color indexed="81"/>
            <rFont val="Tahoma"/>
            <family val="2"/>
            <charset val="204"/>
          </rPr>
          <t>углерод</t>
        </r>
      </text>
    </comment>
    <comment ref="F2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водород </t>
        </r>
      </text>
    </comment>
    <comment ref="G20" authorId="0">
      <text>
        <r>
          <rPr>
            <b/>
            <sz val="9"/>
            <color indexed="81"/>
            <rFont val="Tahoma"/>
            <family val="2"/>
            <charset val="204"/>
          </rPr>
          <t>азот</t>
        </r>
      </text>
    </comment>
    <comment ref="H20" authorId="0">
      <text>
        <r>
          <rPr>
            <b/>
            <sz val="9"/>
            <color indexed="81"/>
            <rFont val="Tahoma"/>
            <family val="2"/>
            <charset val="204"/>
          </rPr>
          <t>кислород</t>
        </r>
      </text>
    </comment>
    <comment ref="I26" authorId="0">
      <text>
        <r>
          <rPr>
            <b/>
            <sz val="9"/>
            <color indexed="81"/>
            <rFont val="Tahoma"/>
            <family val="2"/>
            <charset val="204"/>
          </rPr>
          <t>Объем теоретически необходимого воздуха (м3)
для сжигания 1 кг топлива</t>
        </r>
      </text>
    </comment>
    <comment ref="F3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Теоретический объем азотота </t>
        </r>
      </text>
    </comment>
    <comment ref="F31" authorId="0">
      <text>
        <r>
          <rPr>
            <b/>
            <sz val="9"/>
            <color indexed="81"/>
            <rFont val="Tahoma"/>
            <family val="2"/>
            <charset val="204"/>
          </rPr>
          <t>Теоретический объем 3-атомных газов RO2</t>
        </r>
      </text>
    </comment>
    <comment ref="G32" authorId="0">
      <text>
        <r>
          <rPr>
            <b/>
            <sz val="9"/>
            <color indexed="81"/>
            <rFont val="Tahoma"/>
            <family val="2"/>
            <charset val="204"/>
          </rPr>
          <t>Теоретический объем водяных паров</t>
        </r>
      </text>
    </comment>
    <comment ref="J56" authorId="0">
      <text>
        <r>
          <rPr>
            <b/>
            <sz val="9"/>
            <color indexed="81"/>
            <rFont val="Tahoma"/>
            <family val="2"/>
            <charset val="204"/>
          </rPr>
          <t>коэффициенты местных сопротивлений ξ:
 вход в соединительную трубу из тягопрерывателя — 0,5; 
поворот под углом 90° — 0,9;
внезапное расширение потока при входе в кирпичный дымоход и поворот под углом 90° — 1,2;
 выход из дымохода — 1,5–2,5.</t>
        </r>
      </text>
    </comment>
    <comment ref="I59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для кирпичных труб λ=0.05, 
для стальных λ=0.02. </t>
        </r>
      </text>
    </comment>
    <comment ref="I64" authorId="0">
      <text>
        <r>
          <rPr>
            <b/>
            <sz val="9"/>
            <color indexed="81"/>
            <rFont val="Tahoma"/>
            <family val="2"/>
            <charset val="204"/>
          </rPr>
          <t>САМОТЯГА ДОЛЖНА БЫТЬ БОЛЬШЕ ПОЛНОГО СОПРОТИВЛЕНИЯ ТГ!!!</t>
        </r>
      </text>
    </comment>
    <comment ref="E71" authorId="0">
      <text>
        <r>
          <rPr>
            <b/>
            <sz val="9"/>
            <color indexed="81"/>
            <rFont val="Tahoma"/>
            <family val="2"/>
            <charset val="204"/>
          </rPr>
          <t>В среднем для получения 1кВт необходимо сжечь 0,3-0,4 кг дров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73" authorId="0">
      <text>
        <r>
          <rPr>
            <b/>
            <sz val="9"/>
            <color indexed="81"/>
            <rFont val="Tahoma"/>
            <family val="2"/>
            <charset val="204"/>
          </rPr>
          <t>дрова влажностью 10% - 3900(ккал/кг);
40% - 2400(ккал/кг);</t>
        </r>
      </text>
    </comment>
    <comment ref="I82" authorId="0">
      <text>
        <r>
          <rPr>
            <b/>
            <sz val="9"/>
            <color indexed="81"/>
            <rFont val="Tahoma"/>
            <family val="2"/>
            <charset val="204"/>
          </rPr>
          <t>принимается для наихудших     условий работы</t>
        </r>
      </text>
    </comment>
  </commentList>
</comments>
</file>

<file path=xl/sharedStrings.xml><?xml version="1.0" encoding="utf-8"?>
<sst xmlns="http://schemas.openxmlformats.org/spreadsheetml/2006/main" count="131" uniqueCount="109">
  <si>
    <t>При естественной тяге необходимо уточнить среднюю температуру газов в трубе</t>
  </si>
  <si>
    <t>Объемное количество кислорода  кг/м3</t>
  </si>
  <si>
    <t>(плотность кислорода при нормальных условиях 1.429  кг/ м3)</t>
  </si>
  <si>
    <t>Древесина</t>
  </si>
  <si>
    <t>Wр</t>
  </si>
  <si>
    <t>Ар</t>
  </si>
  <si>
    <t>Sp</t>
  </si>
  <si>
    <t>Cp</t>
  </si>
  <si>
    <t>Hp</t>
  </si>
  <si>
    <t>Np</t>
  </si>
  <si>
    <t>Op</t>
  </si>
  <si>
    <t>Теплота сгорания</t>
  </si>
  <si>
    <t>Состав рабочей массы топлива,  %</t>
  </si>
  <si>
    <t>Тип топлива</t>
  </si>
  <si>
    <t>Выход летучих веществ, %</t>
  </si>
  <si>
    <t>Действительный расход воздуха  (м3) на 1 кг твердого топлива</t>
  </si>
  <si>
    <t xml:space="preserve"> определяется из следующего выражения </t>
  </si>
  <si>
    <t>Температура на входе в трубу определяется из паспортных данных оборудования.</t>
  </si>
  <si>
    <t xml:space="preserve">Температуру продуктов сгорания на выходе из устья дымоходанаходят с учетом их охлаждения по длине трубы. </t>
  </si>
  <si>
    <t>Охлаждение газов в трубе на 1 метр её высоты определяется по формуле:</t>
  </si>
  <si>
    <t>где Q – тепловая мощность котла, кВт</t>
  </si>
  <si>
    <t xml:space="preserve">Температура на выходе из трубы: </t>
  </si>
  <si>
    <t xml:space="preserve">                    высота дымовой трубы в метрах.</t>
  </si>
  <si>
    <t xml:space="preserve">Средняя температура продуктов сгорания в дымоходе: </t>
  </si>
  <si>
    <t>Сечение дымовой трубы определяется по формуле</t>
  </si>
  <si>
    <t>r – коэффициент зависящий от вида используемого топлива</t>
  </si>
  <si>
    <t xml:space="preserve">В– коэффициент </t>
  </si>
  <si>
    <t xml:space="preserve"> =</t>
  </si>
  <si>
    <t>Аэродинамический расчет дымовой трубы при естественной тяге</t>
  </si>
  <si>
    <t>d-диаметр трубы, см</t>
  </si>
  <si>
    <t>Определяется самотяга трубы по формулам:</t>
  </si>
  <si>
    <t xml:space="preserve">Сумма сопротивлений трубы: </t>
  </si>
  <si>
    <t xml:space="preserve">Сопротивление трения: </t>
  </si>
  <si>
    <t xml:space="preserve">Потери в местных сопротивлениях: </t>
  </si>
  <si>
    <t xml:space="preserve"> - коэффициенты местного сопротивления с выходной скоростью(на выходе из
трубы), на входе в дымовую трубу и в поворотах- отводах и тройниках(коэффициент выбирают в зависимости от их конфигураций) соответственно. </t>
  </si>
  <si>
    <t xml:space="preserve"> -коэффициент сопротивления трения</t>
  </si>
  <si>
    <t>ускорение свободного падения равное  9.81  м/с2</t>
  </si>
  <si>
    <t xml:space="preserve">   d-</t>
  </si>
  <si>
    <t xml:space="preserve">диаметр дымовой трубы, м. </t>
  </si>
  <si>
    <t xml:space="preserve">Cкорость продуктов сгорания в трубе: </t>
  </si>
  <si>
    <t xml:space="preserve">Расход топлива с учетом теплотворной способности данного топлива: </t>
  </si>
  <si>
    <t>КПД установки из паспортных данных на оборудование</t>
  </si>
  <si>
    <t>низшая теплотворная способность(в зависимости от состава топлива),</t>
  </si>
  <si>
    <t xml:space="preserve">теоретический объем продуктов сгорания, </t>
  </si>
  <si>
    <t xml:space="preserve">теоретически необходимое количество воздуха, для сжигания 1 кг </t>
  </si>
  <si>
    <t>коэффициент избытка воздуха</t>
  </si>
  <si>
    <t xml:space="preserve">Величина самотяги: </t>
  </si>
  <si>
    <t xml:space="preserve">                      плотность воздуха при рабочих условиях:</t>
  </si>
  <si>
    <t xml:space="preserve">             - плотность воздуха при нормальных условиях</t>
  </si>
  <si>
    <t xml:space="preserve">Плотность дымовых газов при рабочих условиях: </t>
  </si>
  <si>
    <t xml:space="preserve">               плотность продуктов сгорания при нормальных условиях, при α</t>
  </si>
  <si>
    <t>САМОТЯГА!!!</t>
  </si>
  <si>
    <t>Сопротивление теплогенератора, Па</t>
  </si>
  <si>
    <t>Полное аэродинамическое сопротивление, Па</t>
  </si>
  <si>
    <t>Количество поворотов 90 градусов</t>
  </si>
  <si>
    <t>Количество поворотов 45 градусов</t>
  </si>
  <si>
    <t xml:space="preserve">                    температура окружающей среды  </t>
  </si>
  <si>
    <t>ГОСТ 2127-47</t>
  </si>
  <si>
    <t>Теоретическое количество сухого воздуха, необходимое для полного сгорания воздуха</t>
  </si>
  <si>
    <t xml:space="preserve">Продукты сгорания: </t>
  </si>
  <si>
    <t>Теоретический объём дымовых газов</t>
  </si>
  <si>
    <t>Действительный объем водяных паров</t>
  </si>
  <si>
    <t>избыток воздуха в топке =</t>
  </si>
  <si>
    <t>Действительный объем дымовых газов</t>
  </si>
  <si>
    <t>Для получения 1 кВт тепла необходимо</t>
  </si>
  <si>
    <t>кг дров</t>
  </si>
  <si>
    <t>САМОТЯГА, Па</t>
  </si>
  <si>
    <t>Действительный объём продуктов сгорания м3/ч:=</t>
  </si>
  <si>
    <t>Полученный диаметр, м</t>
  </si>
  <si>
    <t>proekt-gaz.ru</t>
  </si>
  <si>
    <t xml:space="preserve">S - </t>
  </si>
  <si>
    <t>аэродинамическое сопротивление котельной установки, определяемое</t>
  </si>
  <si>
    <t xml:space="preserve"> температура окружающей среды  </t>
  </si>
  <si>
    <t>tg-</t>
  </si>
  <si>
    <t>tн-</t>
  </si>
  <si>
    <t>температура уходящих газов</t>
  </si>
  <si>
    <t>S=</t>
  </si>
  <si>
    <t>мм.вод.ст.</t>
  </si>
  <si>
    <t>СОПРОТИВЛЕНИЕ!!!</t>
  </si>
  <si>
    <t>Мощность, кВт</t>
  </si>
  <si>
    <t>Диаметр,  cм</t>
  </si>
  <si>
    <t>F, см2</t>
  </si>
  <si>
    <t>Высота трубы= 5м</t>
  </si>
  <si>
    <t>Высота трубы=6м</t>
  </si>
  <si>
    <t>Высота трубы=8м</t>
  </si>
  <si>
    <t>Высота трубы=</t>
  </si>
  <si>
    <t>Диаметр 120</t>
  </si>
  <si>
    <t>п. Г12 СП 42-101-2003  Уклон соединительной трубы следует принимать не менее 0,01 в сторону газового оборудования.</t>
  </si>
  <si>
    <t>      На соединительных трубах допускается предусматривать не более трех поворотов с радиусом закругления не менее диаметра трубы.</t>
  </si>
  <si>
    <t>(+20% запас)</t>
  </si>
  <si>
    <t>Колосниковая решётка представляет собой чугунную решетку, служащую для поддержания слоя твёрдого топлива. Колосниковая решётка имеет отверстия или щели, через которые, в частности, под неё просыпается зола.</t>
  </si>
  <si>
    <t>около 1,5м/с</t>
  </si>
  <si>
    <t>стр,437</t>
  </si>
  <si>
    <t xml:space="preserve">Отопление и вентиляция. Учебник для вузов. В 2-х ч. Ч. I. Отопление Изд 3-е 
п»рераб. и доп. M., Стройиздат, 1975. 483 с. Авт.: П. H. Каменев, A. H Сканави' 
В. H. Богословский и др. 
</t>
  </si>
  <si>
    <t>Скорость дым.газов</t>
  </si>
  <si>
    <t xml:space="preserve">печи, следует принимать не менее: </t>
  </si>
  <si>
    <t>Площадь  сечения  круглых  дымовых  каналов  должна  быть  не  менее</t>
  </si>
  <si>
    <t xml:space="preserve">площади указанных прямоугольных каналов. </t>
  </si>
  <si>
    <t xml:space="preserve">140×200 мм— при тепловой мощности печи от 3,5 до5,2 кВт; </t>
  </si>
  <si>
    <t xml:space="preserve">140×140 мм— при тепловой мощности печи до 3,5 кВт; </t>
  </si>
  <si>
    <t>СП7.13130.2013</t>
  </si>
  <si>
    <t>Диаметр,м</t>
  </si>
  <si>
    <t>5.8 Сечение дымовых труб  (дымовых каналов),  выполненных                                                                                                                                                                                      из глиняного кирпича или жаростойкого бетона в зависимости от тепловой мощности</t>
  </si>
  <si>
    <t xml:space="preserve">140×270 мм— при тепловой мощности печи от 5,2 до7 кВт. </t>
  </si>
  <si>
    <t>5.26 Сечение дымовых каналов заводской готовности для дымоотводаот каминов должно быть не менее 8 см2 на 1кВт номинальной тепловой мощности</t>
  </si>
  <si>
    <t>Мощность,кВт</t>
  </si>
  <si>
    <t>Сечение, см2</t>
  </si>
  <si>
    <t>Диаметр, cм</t>
  </si>
  <si>
    <t>Диаметр,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</si>
</sst>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i/>
      <u/>
      <sz val="14"/>
      <color rgb="FFC00000"/>
      <name val="Calibri"/>
      <family val="2"/>
      <charset val="204"/>
      <scheme val="minor"/>
    </font>
    <font>
      <b/>
      <i/>
      <u/>
      <sz val="11"/>
      <color rgb="FFC00000"/>
      <name val="Calibri"/>
      <family val="2"/>
      <charset val="204"/>
      <scheme val="minor"/>
    </font>
    <font>
      <b/>
      <i/>
      <u/>
      <sz val="14"/>
      <color rgb="FF0000F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u/>
      <sz val="16"/>
      <color rgb="FF0000FF"/>
      <name val="Calibri"/>
      <family val="2"/>
      <charset val="204"/>
      <scheme val="minor"/>
    </font>
    <font>
      <b/>
      <i/>
      <u/>
      <sz val="12"/>
      <color rgb="FF0000FF"/>
      <name val="Calibri"/>
      <family val="2"/>
      <charset val="204"/>
      <scheme val="minor"/>
    </font>
    <font>
      <b/>
      <i/>
      <u/>
      <sz val="11"/>
      <color rgb="FF00B050"/>
      <name val="Calibri"/>
      <family val="2"/>
      <charset val="204"/>
      <scheme val="minor"/>
    </font>
    <font>
      <u/>
      <sz val="11"/>
      <color rgb="FF0000FF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2" fontId="14" fillId="4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2" fontId="0" fillId="0" borderId="0" xfId="0" applyNumberFormat="1"/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/>
    <xf numFmtId="2" fontId="2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5" fillId="0" borderId="0" xfId="0" applyFon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Border="1"/>
    <xf numFmtId="0" fontId="0" fillId="0" borderId="0" xfId="0" applyFont="1" applyBorder="1"/>
    <xf numFmtId="0" fontId="0" fillId="0" borderId="8" xfId="0" applyFont="1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right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4" borderId="8" xfId="0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8" fillId="0" borderId="12" xfId="0" applyFont="1" applyBorder="1"/>
    <xf numFmtId="0" fontId="18" fillId="0" borderId="0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4" fillId="0" borderId="9" xfId="0" applyFont="1" applyBorder="1"/>
    <xf numFmtId="0" fontId="24" fillId="0" borderId="10" xfId="0" applyFont="1" applyBorder="1"/>
    <xf numFmtId="0" fontId="24" fillId="0" borderId="11" xfId="0" applyFont="1" applyBorder="1"/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65" fontId="24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4" fillId="0" borderId="12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left" vertical="center"/>
    </xf>
    <xf numFmtId="2" fontId="0" fillId="0" borderId="0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wmf"/><Relationship Id="rId18" Type="http://schemas.openxmlformats.org/officeDocument/2006/relationships/image" Target="../media/image18.wmf"/><Relationship Id="rId26" Type="http://schemas.openxmlformats.org/officeDocument/2006/relationships/image" Target="../media/image26.wmf"/><Relationship Id="rId39" Type="http://schemas.openxmlformats.org/officeDocument/2006/relationships/image" Target="../media/image39.wmf"/><Relationship Id="rId3" Type="http://schemas.openxmlformats.org/officeDocument/2006/relationships/image" Target="../media/image3.wmf"/><Relationship Id="rId21" Type="http://schemas.openxmlformats.org/officeDocument/2006/relationships/image" Target="../media/image21.wmf"/><Relationship Id="rId34" Type="http://schemas.openxmlformats.org/officeDocument/2006/relationships/image" Target="../media/image34.wmf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17" Type="http://schemas.openxmlformats.org/officeDocument/2006/relationships/image" Target="../media/image17.wmf"/><Relationship Id="rId25" Type="http://schemas.openxmlformats.org/officeDocument/2006/relationships/image" Target="../media/image25.wmf"/><Relationship Id="rId33" Type="http://schemas.openxmlformats.org/officeDocument/2006/relationships/image" Target="../media/image33.wmf"/><Relationship Id="rId38" Type="http://schemas.openxmlformats.org/officeDocument/2006/relationships/image" Target="../media/image38.wmf"/><Relationship Id="rId2" Type="http://schemas.openxmlformats.org/officeDocument/2006/relationships/image" Target="../media/image2.wmf"/><Relationship Id="rId16" Type="http://schemas.openxmlformats.org/officeDocument/2006/relationships/image" Target="../media/image16.wmf"/><Relationship Id="rId20" Type="http://schemas.openxmlformats.org/officeDocument/2006/relationships/image" Target="../media/image20.wmf"/><Relationship Id="rId29" Type="http://schemas.openxmlformats.org/officeDocument/2006/relationships/image" Target="../media/image29.wmf"/><Relationship Id="rId41" Type="http://schemas.openxmlformats.org/officeDocument/2006/relationships/image" Target="../media/image41.emf"/><Relationship Id="rId1" Type="http://schemas.openxmlformats.org/officeDocument/2006/relationships/image" Target="../media/image1.e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24" Type="http://schemas.openxmlformats.org/officeDocument/2006/relationships/image" Target="../media/image24.wmf"/><Relationship Id="rId32" Type="http://schemas.openxmlformats.org/officeDocument/2006/relationships/image" Target="../media/image32.wmf"/><Relationship Id="rId37" Type="http://schemas.openxmlformats.org/officeDocument/2006/relationships/image" Target="../media/image37.wmf"/><Relationship Id="rId40" Type="http://schemas.openxmlformats.org/officeDocument/2006/relationships/image" Target="../media/image40.emf"/><Relationship Id="rId5" Type="http://schemas.openxmlformats.org/officeDocument/2006/relationships/image" Target="../media/image5.wmf"/><Relationship Id="rId15" Type="http://schemas.openxmlformats.org/officeDocument/2006/relationships/image" Target="../media/image15.wmf"/><Relationship Id="rId23" Type="http://schemas.openxmlformats.org/officeDocument/2006/relationships/image" Target="../media/image23.wmf"/><Relationship Id="rId28" Type="http://schemas.openxmlformats.org/officeDocument/2006/relationships/image" Target="../media/image28.wmf"/><Relationship Id="rId36" Type="http://schemas.openxmlformats.org/officeDocument/2006/relationships/image" Target="../media/image36.wmf"/><Relationship Id="rId10" Type="http://schemas.openxmlformats.org/officeDocument/2006/relationships/image" Target="../media/image10.wmf"/><Relationship Id="rId19" Type="http://schemas.openxmlformats.org/officeDocument/2006/relationships/image" Target="../media/image19.wmf"/><Relationship Id="rId31" Type="http://schemas.openxmlformats.org/officeDocument/2006/relationships/image" Target="../media/image31.wmf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Relationship Id="rId22" Type="http://schemas.openxmlformats.org/officeDocument/2006/relationships/image" Target="../media/image22.wmf"/><Relationship Id="rId27" Type="http://schemas.openxmlformats.org/officeDocument/2006/relationships/image" Target="../media/image27.wmf"/><Relationship Id="rId30" Type="http://schemas.openxmlformats.org/officeDocument/2006/relationships/image" Target="../media/image30.wmf"/><Relationship Id="rId35" Type="http://schemas.openxmlformats.org/officeDocument/2006/relationships/image" Target="../media/image35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3.emf"/><Relationship Id="rId1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19</xdr:row>
          <xdr:rowOff>76200</xdr:rowOff>
        </xdr:from>
        <xdr:to>
          <xdr:col>8</xdr:col>
          <xdr:colOff>942975</xdr:colOff>
          <xdr:row>19</xdr:row>
          <xdr:rowOff>390525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43</xdr:row>
          <xdr:rowOff>0</xdr:rowOff>
        </xdr:from>
        <xdr:to>
          <xdr:col>0</xdr:col>
          <xdr:colOff>723900</xdr:colOff>
          <xdr:row>44</xdr:row>
          <xdr:rowOff>28575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34</xdr:row>
          <xdr:rowOff>114300</xdr:rowOff>
        </xdr:from>
        <xdr:to>
          <xdr:col>0</xdr:col>
          <xdr:colOff>419100</xdr:colOff>
          <xdr:row>34</xdr:row>
          <xdr:rowOff>333375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5</xdr:row>
          <xdr:rowOff>190500</xdr:rowOff>
        </xdr:from>
        <xdr:to>
          <xdr:col>4</xdr:col>
          <xdr:colOff>200025</xdr:colOff>
          <xdr:row>5</xdr:row>
          <xdr:rowOff>809625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5</xdr:row>
          <xdr:rowOff>276225</xdr:rowOff>
        </xdr:from>
        <xdr:to>
          <xdr:col>5</xdr:col>
          <xdr:colOff>0</xdr:colOff>
          <xdr:row>5</xdr:row>
          <xdr:rowOff>476250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28575</xdr:rowOff>
        </xdr:from>
        <xdr:to>
          <xdr:col>4</xdr:col>
          <xdr:colOff>457200</xdr:colOff>
          <xdr:row>9</xdr:row>
          <xdr:rowOff>266700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19050</xdr:rowOff>
        </xdr:from>
        <xdr:to>
          <xdr:col>5</xdr:col>
          <xdr:colOff>180975</xdr:colOff>
          <xdr:row>9</xdr:row>
          <xdr:rowOff>219075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10</xdr:row>
          <xdr:rowOff>38100</xdr:rowOff>
        </xdr:from>
        <xdr:to>
          <xdr:col>0</xdr:col>
          <xdr:colOff>476250</xdr:colOff>
          <xdr:row>10</xdr:row>
          <xdr:rowOff>276225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12</xdr:row>
          <xdr:rowOff>28575</xdr:rowOff>
        </xdr:from>
        <xdr:to>
          <xdr:col>5</xdr:col>
          <xdr:colOff>0</xdr:colOff>
          <xdr:row>12</xdr:row>
          <xdr:rowOff>266700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14</xdr:row>
          <xdr:rowOff>47625</xdr:rowOff>
        </xdr:from>
        <xdr:to>
          <xdr:col>5</xdr:col>
          <xdr:colOff>0</xdr:colOff>
          <xdr:row>14</xdr:row>
          <xdr:rowOff>514350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428625</xdr:colOff>
          <xdr:row>1</xdr:row>
          <xdr:rowOff>57150</xdr:rowOff>
        </xdr:from>
        <xdr:to>
          <xdr:col>8</xdr:col>
          <xdr:colOff>647700</xdr:colOff>
          <xdr:row>1</xdr:row>
          <xdr:rowOff>295275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</xdr:row>
          <xdr:rowOff>66675</xdr:rowOff>
        </xdr:from>
        <xdr:to>
          <xdr:col>8</xdr:col>
          <xdr:colOff>619125</xdr:colOff>
          <xdr:row>2</xdr:row>
          <xdr:rowOff>276225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3</xdr:row>
          <xdr:rowOff>57150</xdr:rowOff>
        </xdr:from>
        <xdr:to>
          <xdr:col>8</xdr:col>
          <xdr:colOff>581025</xdr:colOff>
          <xdr:row>3</xdr:row>
          <xdr:rowOff>266700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55</xdr:row>
          <xdr:rowOff>257175</xdr:rowOff>
        </xdr:from>
        <xdr:to>
          <xdr:col>0</xdr:col>
          <xdr:colOff>409575</xdr:colOff>
          <xdr:row>55</xdr:row>
          <xdr:rowOff>457200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58</xdr:row>
          <xdr:rowOff>123825</xdr:rowOff>
        </xdr:from>
        <xdr:to>
          <xdr:col>0</xdr:col>
          <xdr:colOff>457200</xdr:colOff>
          <xdr:row>58</xdr:row>
          <xdr:rowOff>295275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59</xdr:row>
          <xdr:rowOff>104775</xdr:rowOff>
        </xdr:from>
        <xdr:to>
          <xdr:col>0</xdr:col>
          <xdr:colOff>419100</xdr:colOff>
          <xdr:row>59</xdr:row>
          <xdr:rowOff>266700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65</xdr:row>
          <xdr:rowOff>28575</xdr:rowOff>
        </xdr:from>
        <xdr:to>
          <xdr:col>2</xdr:col>
          <xdr:colOff>133350</xdr:colOff>
          <xdr:row>65</xdr:row>
          <xdr:rowOff>457200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71</xdr:row>
          <xdr:rowOff>104775</xdr:rowOff>
        </xdr:from>
        <xdr:to>
          <xdr:col>0</xdr:col>
          <xdr:colOff>409575</xdr:colOff>
          <xdr:row>71</xdr:row>
          <xdr:rowOff>266700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72</xdr:row>
          <xdr:rowOff>47625</xdr:rowOff>
        </xdr:from>
        <xdr:to>
          <xdr:col>0</xdr:col>
          <xdr:colOff>476250</xdr:colOff>
          <xdr:row>72</xdr:row>
          <xdr:rowOff>276225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73</xdr:row>
          <xdr:rowOff>19050</xdr:rowOff>
        </xdr:from>
        <xdr:to>
          <xdr:col>0</xdr:col>
          <xdr:colOff>438150</xdr:colOff>
          <xdr:row>73</xdr:row>
          <xdr:rowOff>257175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74</xdr:row>
          <xdr:rowOff>57150</xdr:rowOff>
        </xdr:from>
        <xdr:to>
          <xdr:col>0</xdr:col>
          <xdr:colOff>466725</xdr:colOff>
          <xdr:row>74</xdr:row>
          <xdr:rowOff>295275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75</xdr:row>
          <xdr:rowOff>114300</xdr:rowOff>
        </xdr:from>
        <xdr:to>
          <xdr:col>0</xdr:col>
          <xdr:colOff>409575</xdr:colOff>
          <xdr:row>75</xdr:row>
          <xdr:rowOff>257175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77</xdr:row>
          <xdr:rowOff>47625</xdr:rowOff>
        </xdr:from>
        <xdr:to>
          <xdr:col>2</xdr:col>
          <xdr:colOff>476250</xdr:colOff>
          <xdr:row>77</xdr:row>
          <xdr:rowOff>276225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78</xdr:row>
          <xdr:rowOff>85725</xdr:rowOff>
        </xdr:from>
        <xdr:to>
          <xdr:col>0</xdr:col>
          <xdr:colOff>476250</xdr:colOff>
          <xdr:row>78</xdr:row>
          <xdr:rowOff>304800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79</xdr:row>
          <xdr:rowOff>38100</xdr:rowOff>
        </xdr:from>
        <xdr:to>
          <xdr:col>2</xdr:col>
          <xdr:colOff>504825</xdr:colOff>
          <xdr:row>80</xdr:row>
          <xdr:rowOff>114300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81</xdr:row>
          <xdr:rowOff>76200</xdr:rowOff>
        </xdr:from>
        <xdr:to>
          <xdr:col>0</xdr:col>
          <xdr:colOff>419100</xdr:colOff>
          <xdr:row>81</xdr:row>
          <xdr:rowOff>295275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82</xdr:row>
          <xdr:rowOff>85725</xdr:rowOff>
        </xdr:from>
        <xdr:to>
          <xdr:col>1</xdr:col>
          <xdr:colOff>438150</xdr:colOff>
          <xdr:row>82</xdr:row>
          <xdr:rowOff>333375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84</xdr:row>
          <xdr:rowOff>9525</xdr:rowOff>
        </xdr:from>
        <xdr:to>
          <xdr:col>2</xdr:col>
          <xdr:colOff>466725</xdr:colOff>
          <xdr:row>85</xdr:row>
          <xdr:rowOff>85725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86</xdr:row>
          <xdr:rowOff>57150</xdr:rowOff>
        </xdr:from>
        <xdr:to>
          <xdr:col>0</xdr:col>
          <xdr:colOff>409575</xdr:colOff>
          <xdr:row>86</xdr:row>
          <xdr:rowOff>304800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51</xdr:row>
          <xdr:rowOff>57150</xdr:rowOff>
        </xdr:from>
        <xdr:to>
          <xdr:col>4</xdr:col>
          <xdr:colOff>0</xdr:colOff>
          <xdr:row>51</xdr:row>
          <xdr:rowOff>466725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</xdr:row>
          <xdr:rowOff>0</xdr:rowOff>
        </xdr:from>
        <xdr:to>
          <xdr:col>3</xdr:col>
          <xdr:colOff>371475</xdr:colOff>
          <xdr:row>55</xdr:row>
          <xdr:rowOff>9525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49</xdr:row>
          <xdr:rowOff>66675</xdr:rowOff>
        </xdr:from>
        <xdr:to>
          <xdr:col>3</xdr:col>
          <xdr:colOff>447675</xdr:colOff>
          <xdr:row>49</xdr:row>
          <xdr:rowOff>314325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142875</xdr:rowOff>
        </xdr:from>
        <xdr:to>
          <xdr:col>3</xdr:col>
          <xdr:colOff>361950</xdr:colOff>
          <xdr:row>30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30</xdr:row>
          <xdr:rowOff>0</xdr:rowOff>
        </xdr:from>
        <xdr:to>
          <xdr:col>4</xdr:col>
          <xdr:colOff>19050</xdr:colOff>
          <xdr:row>31</xdr:row>
          <xdr:rowOff>57150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5</xdr:col>
          <xdr:colOff>142875</xdr:colOff>
          <xdr:row>32</xdr:row>
          <xdr:rowOff>57150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32</xdr:row>
          <xdr:rowOff>352425</xdr:rowOff>
        </xdr:from>
        <xdr:to>
          <xdr:col>2</xdr:col>
          <xdr:colOff>428625</xdr:colOff>
          <xdr:row>34</xdr:row>
          <xdr:rowOff>47625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95250</xdr:rowOff>
        </xdr:from>
        <xdr:to>
          <xdr:col>7</xdr:col>
          <xdr:colOff>57150</xdr:colOff>
          <xdr:row>26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36</xdr:row>
          <xdr:rowOff>0</xdr:rowOff>
        </xdr:from>
        <xdr:to>
          <xdr:col>3</xdr:col>
          <xdr:colOff>371475</xdr:colOff>
          <xdr:row>37</xdr:row>
          <xdr:rowOff>57150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37</xdr:row>
          <xdr:rowOff>333375</xdr:rowOff>
        </xdr:from>
        <xdr:to>
          <xdr:col>4</xdr:col>
          <xdr:colOff>0</xdr:colOff>
          <xdr:row>39</xdr:row>
          <xdr:rowOff>28575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69</xdr:row>
          <xdr:rowOff>0</xdr:rowOff>
        </xdr:from>
        <xdr:to>
          <xdr:col>2</xdr:col>
          <xdr:colOff>514350</xdr:colOff>
          <xdr:row>70</xdr:row>
          <xdr:rowOff>76200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67</xdr:row>
          <xdr:rowOff>47625</xdr:rowOff>
        </xdr:from>
        <xdr:to>
          <xdr:col>1</xdr:col>
          <xdr:colOff>438150</xdr:colOff>
          <xdr:row>67</xdr:row>
          <xdr:rowOff>352425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95250</xdr:colOff>
      <xdr:row>63</xdr:row>
      <xdr:rowOff>133350</xdr:rowOff>
    </xdr:from>
    <xdr:to>
      <xdr:col>9</xdr:col>
      <xdr:colOff>790575</xdr:colOff>
      <xdr:row>63</xdr:row>
      <xdr:rowOff>228600</xdr:rowOff>
    </xdr:to>
    <xdr:sp macro="" textlink="">
      <xdr:nvSpPr>
        <xdr:cNvPr id="2" name="Стрелка влево 1"/>
        <xdr:cNvSpPr/>
      </xdr:nvSpPr>
      <xdr:spPr>
        <a:xfrm>
          <a:off x="6410325" y="25898475"/>
          <a:ext cx="69532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9</xdr:col>
      <xdr:colOff>152400</xdr:colOff>
      <xdr:row>16</xdr:row>
      <xdr:rowOff>114300</xdr:rowOff>
    </xdr:from>
    <xdr:to>
      <xdr:col>9</xdr:col>
      <xdr:colOff>666750</xdr:colOff>
      <xdr:row>16</xdr:row>
      <xdr:rowOff>209550</xdr:rowOff>
    </xdr:to>
    <xdr:sp macro="" textlink="">
      <xdr:nvSpPr>
        <xdr:cNvPr id="45" name="Стрелка влево 44"/>
        <xdr:cNvSpPr/>
      </xdr:nvSpPr>
      <xdr:spPr>
        <a:xfrm>
          <a:off x="6467475" y="6162675"/>
          <a:ext cx="514350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100</xdr:row>
          <xdr:rowOff>114300</xdr:rowOff>
        </xdr:from>
        <xdr:to>
          <xdr:col>4</xdr:col>
          <xdr:colOff>0</xdr:colOff>
          <xdr:row>104</xdr:row>
          <xdr:rowOff>123825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95250</xdr:colOff>
      <xdr:row>62</xdr:row>
      <xdr:rowOff>133350</xdr:rowOff>
    </xdr:from>
    <xdr:to>
      <xdr:col>9</xdr:col>
      <xdr:colOff>790575</xdr:colOff>
      <xdr:row>62</xdr:row>
      <xdr:rowOff>228600</xdr:rowOff>
    </xdr:to>
    <xdr:sp macro="" textlink="">
      <xdr:nvSpPr>
        <xdr:cNvPr id="47" name="Стрелка влево 46"/>
        <xdr:cNvSpPr/>
      </xdr:nvSpPr>
      <xdr:spPr>
        <a:xfrm>
          <a:off x="6410325" y="20469225"/>
          <a:ext cx="69532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oneCell">
    <xdr:from>
      <xdr:col>0</xdr:col>
      <xdr:colOff>152400</xdr:colOff>
      <xdr:row>88</xdr:row>
      <xdr:rowOff>142875</xdr:rowOff>
    </xdr:from>
    <xdr:to>
      <xdr:col>9</xdr:col>
      <xdr:colOff>638175</xdr:colOff>
      <xdr:row>98</xdr:row>
      <xdr:rowOff>1166582</xdr:rowOff>
    </xdr:to>
    <xdr:pic>
      <xdr:nvPicPr>
        <xdr:cNvPr id="48" name="Рисунок 47" descr="CCProject - &amp;Scy;&amp;Pcy; 42-101-2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0118050"/>
          <a:ext cx="6162675" cy="3843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23</xdr:row>
          <xdr:rowOff>38100</xdr:rowOff>
        </xdr:from>
        <xdr:to>
          <xdr:col>1</xdr:col>
          <xdr:colOff>714375</xdr:colOff>
          <xdr:row>25</xdr:row>
          <xdr:rowOff>123825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857250</xdr:colOff>
          <xdr:row>22</xdr:row>
          <xdr:rowOff>171450</xdr:rowOff>
        </xdr:from>
        <xdr:to>
          <xdr:col>4</xdr:col>
          <xdr:colOff>590550</xdr:colOff>
          <xdr:row>26</xdr:row>
          <xdr:rowOff>19050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wmf"/><Relationship Id="rId18" Type="http://schemas.openxmlformats.org/officeDocument/2006/relationships/image" Target="../media/image7.wmf"/><Relationship Id="rId26" Type="http://schemas.openxmlformats.org/officeDocument/2006/relationships/image" Target="../media/image11.wmf"/><Relationship Id="rId39" Type="http://schemas.openxmlformats.org/officeDocument/2006/relationships/oleObject" Target="../embeddings/oleObject19.bin"/><Relationship Id="rId21" Type="http://schemas.openxmlformats.org/officeDocument/2006/relationships/oleObject" Target="../embeddings/oleObject10.bin"/><Relationship Id="rId34" Type="http://schemas.openxmlformats.org/officeDocument/2006/relationships/image" Target="../media/image15.wmf"/><Relationship Id="rId42" Type="http://schemas.openxmlformats.org/officeDocument/2006/relationships/image" Target="../media/image19.wmf"/><Relationship Id="rId47" Type="http://schemas.openxmlformats.org/officeDocument/2006/relationships/oleObject" Target="../embeddings/oleObject23.bin"/><Relationship Id="rId50" Type="http://schemas.openxmlformats.org/officeDocument/2006/relationships/image" Target="../media/image23.wmf"/><Relationship Id="rId55" Type="http://schemas.openxmlformats.org/officeDocument/2006/relationships/oleObject" Target="../embeddings/oleObject27.bin"/><Relationship Id="rId63" Type="http://schemas.openxmlformats.org/officeDocument/2006/relationships/oleObject" Target="../embeddings/oleObject31.bin"/><Relationship Id="rId68" Type="http://schemas.openxmlformats.org/officeDocument/2006/relationships/image" Target="../media/image32.wmf"/><Relationship Id="rId76" Type="http://schemas.openxmlformats.org/officeDocument/2006/relationships/image" Target="../media/image36.wmf"/><Relationship Id="rId84" Type="http://schemas.openxmlformats.org/officeDocument/2006/relationships/image" Target="../media/image40.emf"/><Relationship Id="rId7" Type="http://schemas.openxmlformats.org/officeDocument/2006/relationships/image" Target="../media/image2.wmf"/><Relationship Id="rId71" Type="http://schemas.openxmlformats.org/officeDocument/2006/relationships/oleObject" Target="../embeddings/oleObject35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9" Type="http://schemas.openxmlformats.org/officeDocument/2006/relationships/oleObject" Target="../embeddings/oleObject14.bin"/><Relationship Id="rId11" Type="http://schemas.openxmlformats.org/officeDocument/2006/relationships/image" Target="../media/image4.wmf"/><Relationship Id="rId24" Type="http://schemas.openxmlformats.org/officeDocument/2006/relationships/image" Target="../media/image10.wmf"/><Relationship Id="rId32" Type="http://schemas.openxmlformats.org/officeDocument/2006/relationships/image" Target="../media/image14.wmf"/><Relationship Id="rId37" Type="http://schemas.openxmlformats.org/officeDocument/2006/relationships/oleObject" Target="../embeddings/oleObject18.bin"/><Relationship Id="rId40" Type="http://schemas.openxmlformats.org/officeDocument/2006/relationships/image" Target="../media/image18.wmf"/><Relationship Id="rId45" Type="http://schemas.openxmlformats.org/officeDocument/2006/relationships/oleObject" Target="../embeddings/oleObject22.bin"/><Relationship Id="rId53" Type="http://schemas.openxmlformats.org/officeDocument/2006/relationships/oleObject" Target="../embeddings/oleObject26.bin"/><Relationship Id="rId58" Type="http://schemas.openxmlformats.org/officeDocument/2006/relationships/image" Target="../media/image27.wmf"/><Relationship Id="rId66" Type="http://schemas.openxmlformats.org/officeDocument/2006/relationships/image" Target="../media/image31.wmf"/><Relationship Id="rId74" Type="http://schemas.openxmlformats.org/officeDocument/2006/relationships/image" Target="../media/image35.wmf"/><Relationship Id="rId79" Type="http://schemas.openxmlformats.org/officeDocument/2006/relationships/oleObject" Target="../embeddings/oleObject39.bin"/><Relationship Id="rId87" Type="http://schemas.openxmlformats.org/officeDocument/2006/relationships/comments" Target="../comments1.xml"/><Relationship Id="rId5" Type="http://schemas.openxmlformats.org/officeDocument/2006/relationships/image" Target="../media/image1.emf"/><Relationship Id="rId61" Type="http://schemas.openxmlformats.org/officeDocument/2006/relationships/oleObject" Target="../embeddings/oleObject30.bin"/><Relationship Id="rId82" Type="http://schemas.openxmlformats.org/officeDocument/2006/relationships/image" Target="../media/image39.wmf"/><Relationship Id="rId19" Type="http://schemas.openxmlformats.org/officeDocument/2006/relationships/oleObject" Target="../embeddings/oleObject9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Relationship Id="rId14" Type="http://schemas.openxmlformats.org/officeDocument/2006/relationships/oleObject" Target="../embeddings/oleObject6.bin"/><Relationship Id="rId22" Type="http://schemas.openxmlformats.org/officeDocument/2006/relationships/image" Target="../media/image9.wmf"/><Relationship Id="rId27" Type="http://schemas.openxmlformats.org/officeDocument/2006/relationships/oleObject" Target="../embeddings/oleObject13.bin"/><Relationship Id="rId30" Type="http://schemas.openxmlformats.org/officeDocument/2006/relationships/image" Target="../media/image13.wmf"/><Relationship Id="rId35" Type="http://schemas.openxmlformats.org/officeDocument/2006/relationships/oleObject" Target="../embeddings/oleObject17.bin"/><Relationship Id="rId43" Type="http://schemas.openxmlformats.org/officeDocument/2006/relationships/oleObject" Target="../embeddings/oleObject21.bin"/><Relationship Id="rId48" Type="http://schemas.openxmlformats.org/officeDocument/2006/relationships/image" Target="../media/image22.wmf"/><Relationship Id="rId56" Type="http://schemas.openxmlformats.org/officeDocument/2006/relationships/image" Target="../media/image26.wmf"/><Relationship Id="rId64" Type="http://schemas.openxmlformats.org/officeDocument/2006/relationships/image" Target="../media/image30.wmf"/><Relationship Id="rId69" Type="http://schemas.openxmlformats.org/officeDocument/2006/relationships/oleObject" Target="../embeddings/oleObject34.bin"/><Relationship Id="rId77" Type="http://schemas.openxmlformats.org/officeDocument/2006/relationships/oleObject" Target="../embeddings/oleObject38.bin"/><Relationship Id="rId8" Type="http://schemas.openxmlformats.org/officeDocument/2006/relationships/oleObject" Target="../embeddings/oleObject3.bin"/><Relationship Id="rId51" Type="http://schemas.openxmlformats.org/officeDocument/2006/relationships/oleObject" Target="../embeddings/oleObject25.bin"/><Relationship Id="rId72" Type="http://schemas.openxmlformats.org/officeDocument/2006/relationships/image" Target="../media/image34.wmf"/><Relationship Id="rId80" Type="http://schemas.openxmlformats.org/officeDocument/2006/relationships/image" Target="../media/image38.wmf"/><Relationship Id="rId85" Type="http://schemas.openxmlformats.org/officeDocument/2006/relationships/oleObject" Target="../embeddings/oleObject42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5.bin"/><Relationship Id="rId17" Type="http://schemas.openxmlformats.org/officeDocument/2006/relationships/oleObject" Target="../embeddings/oleObject8.bin"/><Relationship Id="rId25" Type="http://schemas.openxmlformats.org/officeDocument/2006/relationships/oleObject" Target="../embeddings/oleObject12.bin"/><Relationship Id="rId33" Type="http://schemas.openxmlformats.org/officeDocument/2006/relationships/oleObject" Target="../embeddings/oleObject16.bin"/><Relationship Id="rId38" Type="http://schemas.openxmlformats.org/officeDocument/2006/relationships/image" Target="../media/image17.wmf"/><Relationship Id="rId46" Type="http://schemas.openxmlformats.org/officeDocument/2006/relationships/image" Target="../media/image21.wmf"/><Relationship Id="rId59" Type="http://schemas.openxmlformats.org/officeDocument/2006/relationships/oleObject" Target="../embeddings/oleObject29.bin"/><Relationship Id="rId67" Type="http://schemas.openxmlformats.org/officeDocument/2006/relationships/oleObject" Target="../embeddings/oleObject33.bin"/><Relationship Id="rId20" Type="http://schemas.openxmlformats.org/officeDocument/2006/relationships/image" Target="../media/image8.wmf"/><Relationship Id="rId41" Type="http://schemas.openxmlformats.org/officeDocument/2006/relationships/oleObject" Target="../embeddings/oleObject20.bin"/><Relationship Id="rId54" Type="http://schemas.openxmlformats.org/officeDocument/2006/relationships/image" Target="../media/image25.wmf"/><Relationship Id="rId62" Type="http://schemas.openxmlformats.org/officeDocument/2006/relationships/image" Target="../media/image29.wmf"/><Relationship Id="rId70" Type="http://schemas.openxmlformats.org/officeDocument/2006/relationships/image" Target="../media/image33.wmf"/><Relationship Id="rId75" Type="http://schemas.openxmlformats.org/officeDocument/2006/relationships/oleObject" Target="../embeddings/oleObject37.bin"/><Relationship Id="rId83" Type="http://schemas.openxmlformats.org/officeDocument/2006/relationships/oleObject" Target="../embeddings/oleObject4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image" Target="../media/image6.wmf"/><Relationship Id="rId23" Type="http://schemas.openxmlformats.org/officeDocument/2006/relationships/oleObject" Target="../embeddings/oleObject11.bin"/><Relationship Id="rId28" Type="http://schemas.openxmlformats.org/officeDocument/2006/relationships/image" Target="../media/image12.wmf"/><Relationship Id="rId36" Type="http://schemas.openxmlformats.org/officeDocument/2006/relationships/image" Target="../media/image16.wmf"/><Relationship Id="rId49" Type="http://schemas.openxmlformats.org/officeDocument/2006/relationships/oleObject" Target="../embeddings/oleObject24.bin"/><Relationship Id="rId57" Type="http://schemas.openxmlformats.org/officeDocument/2006/relationships/oleObject" Target="../embeddings/oleObject28.bin"/><Relationship Id="rId10" Type="http://schemas.openxmlformats.org/officeDocument/2006/relationships/oleObject" Target="../embeddings/oleObject4.bin"/><Relationship Id="rId31" Type="http://schemas.openxmlformats.org/officeDocument/2006/relationships/oleObject" Target="../embeddings/oleObject15.bin"/><Relationship Id="rId44" Type="http://schemas.openxmlformats.org/officeDocument/2006/relationships/image" Target="../media/image20.wmf"/><Relationship Id="rId52" Type="http://schemas.openxmlformats.org/officeDocument/2006/relationships/image" Target="../media/image24.wmf"/><Relationship Id="rId60" Type="http://schemas.openxmlformats.org/officeDocument/2006/relationships/image" Target="../media/image28.wmf"/><Relationship Id="rId65" Type="http://schemas.openxmlformats.org/officeDocument/2006/relationships/oleObject" Target="../embeddings/oleObject32.bin"/><Relationship Id="rId73" Type="http://schemas.openxmlformats.org/officeDocument/2006/relationships/oleObject" Target="../embeddings/oleObject36.bin"/><Relationship Id="rId78" Type="http://schemas.openxmlformats.org/officeDocument/2006/relationships/image" Target="../media/image37.wmf"/><Relationship Id="rId81" Type="http://schemas.openxmlformats.org/officeDocument/2006/relationships/oleObject" Target="../embeddings/oleObject40.bin"/><Relationship Id="rId86" Type="http://schemas.openxmlformats.org/officeDocument/2006/relationships/image" Target="../media/image4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4.bin"/><Relationship Id="rId5" Type="http://schemas.openxmlformats.org/officeDocument/2006/relationships/image" Target="../media/image9.wmf"/><Relationship Id="rId4" Type="http://schemas.openxmlformats.org/officeDocument/2006/relationships/oleObject" Target="../embeddings/oleObject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09"/>
  <sheetViews>
    <sheetView tabSelected="1" zoomScale="110" zoomScaleNormal="110" workbookViewId="0">
      <selection activeCell="I61" sqref="I61"/>
    </sheetView>
  </sheetViews>
  <sheetFormatPr defaultRowHeight="15" x14ac:dyDescent="0.25"/>
  <cols>
    <col min="1" max="1" width="11.7109375" customWidth="1"/>
    <col min="2" max="2" width="8.5703125" customWidth="1"/>
    <col min="3" max="3" width="8.28515625" customWidth="1"/>
    <col min="4" max="4" width="7.85546875" customWidth="1"/>
    <col min="5" max="5" width="7.140625" customWidth="1"/>
    <col min="6" max="6" width="8.5703125" customWidth="1"/>
    <col min="8" max="8" width="9" customWidth="1"/>
    <col min="9" max="9" width="14.85546875" customWidth="1"/>
    <col min="10" max="10" width="12" customWidth="1"/>
    <col min="12" max="12" width="10.5703125" customWidth="1"/>
    <col min="14" max="14" width="10.7109375" customWidth="1"/>
    <col min="15" max="15" width="15.85546875" customWidth="1"/>
    <col min="16" max="16" width="12.140625" customWidth="1"/>
    <col min="17" max="17" width="13.85546875" customWidth="1"/>
    <col min="22" max="22" width="11.85546875" customWidth="1"/>
  </cols>
  <sheetData>
    <row r="1" spans="1:23" ht="27" customHeight="1" thickBot="1" x14ac:dyDescent="0.3">
      <c r="A1" s="130" t="s">
        <v>28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23" ht="27" customHeight="1" thickBot="1" x14ac:dyDescent="0.3">
      <c r="A2" s="118" t="s">
        <v>0</v>
      </c>
      <c r="B2" s="136"/>
      <c r="C2" s="136"/>
      <c r="D2" s="136"/>
      <c r="E2" s="136"/>
      <c r="F2" s="136"/>
      <c r="G2" s="136"/>
      <c r="H2" s="136"/>
      <c r="I2" s="52"/>
      <c r="J2" s="16">
        <f>(J3+J4)/2</f>
        <v>141.58542930388009</v>
      </c>
    </row>
    <row r="3" spans="1:23" ht="27" customHeight="1" thickBot="1" x14ac:dyDescent="0.3">
      <c r="A3" s="135" t="s">
        <v>17</v>
      </c>
      <c r="B3" s="134"/>
      <c r="C3" s="134"/>
      <c r="D3" s="134"/>
      <c r="E3" s="134"/>
      <c r="F3" s="134"/>
      <c r="G3" s="134"/>
      <c r="H3" s="134"/>
      <c r="I3" s="52"/>
      <c r="J3" s="14">
        <v>150</v>
      </c>
    </row>
    <row r="4" spans="1:23" ht="27" customHeight="1" thickBot="1" x14ac:dyDescent="0.3">
      <c r="A4" s="118" t="s">
        <v>18</v>
      </c>
      <c r="B4" s="136"/>
      <c r="C4" s="136"/>
      <c r="D4" s="136"/>
      <c r="E4" s="136"/>
      <c r="F4" s="136"/>
      <c r="G4" s="136"/>
      <c r="H4" s="136"/>
      <c r="I4" s="52"/>
      <c r="J4" s="17">
        <f>J3-I11*I6</f>
        <v>133.17085860776018</v>
      </c>
    </row>
    <row r="5" spans="1:23" ht="27" customHeight="1" thickBot="1" x14ac:dyDescent="0.3">
      <c r="A5" s="116" t="s">
        <v>19</v>
      </c>
      <c r="B5" s="117"/>
      <c r="C5" s="117"/>
      <c r="D5" s="117"/>
      <c r="E5" s="117"/>
      <c r="F5" s="117"/>
      <c r="G5" s="117"/>
      <c r="H5" s="117"/>
      <c r="I5" s="52"/>
      <c r="J5" s="53"/>
    </row>
    <row r="6" spans="1:23" ht="66.75" customHeight="1" thickBot="1" x14ac:dyDescent="0.3">
      <c r="A6" s="116"/>
      <c r="B6" s="117"/>
      <c r="C6" s="117"/>
      <c r="D6" s="117"/>
      <c r="E6" s="117"/>
      <c r="F6" s="117"/>
      <c r="G6" s="117"/>
      <c r="H6" s="117"/>
      <c r="I6" s="18">
        <f>I8/(I7/1000)^0.5</f>
        <v>2.4041630560342617</v>
      </c>
      <c r="J6" s="53"/>
    </row>
    <row r="7" spans="1:23" ht="24.95" customHeight="1" thickBot="1" x14ac:dyDescent="0.3">
      <c r="A7" s="116" t="s">
        <v>20</v>
      </c>
      <c r="B7" s="117"/>
      <c r="C7" s="117"/>
      <c r="D7" s="117"/>
      <c r="E7" s="117"/>
      <c r="F7" s="117"/>
      <c r="G7" s="117"/>
      <c r="H7" s="117"/>
      <c r="I7" s="8">
        <v>20</v>
      </c>
      <c r="J7" s="53"/>
    </row>
    <row r="8" spans="1:23" ht="24.95" customHeight="1" thickBot="1" x14ac:dyDescent="0.3">
      <c r="A8" s="116" t="s">
        <v>26</v>
      </c>
      <c r="B8" s="117"/>
      <c r="C8" s="117"/>
      <c r="D8" s="117"/>
      <c r="E8" s="117"/>
      <c r="F8" s="117"/>
      <c r="G8" s="117"/>
      <c r="H8" s="117"/>
      <c r="I8" s="8">
        <v>0.34</v>
      </c>
      <c r="J8" s="53"/>
    </row>
    <row r="9" spans="1:23" ht="24.95" customHeight="1" x14ac:dyDescent="0.25">
      <c r="A9" s="116" t="s">
        <v>21</v>
      </c>
      <c r="B9" s="117"/>
      <c r="C9" s="117"/>
      <c r="D9" s="117"/>
      <c r="E9" s="117"/>
      <c r="F9" s="117"/>
      <c r="G9" s="117"/>
      <c r="H9" s="117"/>
      <c r="I9" s="54"/>
      <c r="J9" s="53"/>
      <c r="O9" t="s">
        <v>69</v>
      </c>
    </row>
    <row r="10" spans="1:23" ht="24.95" customHeight="1" thickBot="1" x14ac:dyDescent="0.3">
      <c r="A10" s="116"/>
      <c r="B10" s="117"/>
      <c r="C10" s="117"/>
      <c r="D10" s="117"/>
      <c r="E10" s="117"/>
      <c r="F10" s="117"/>
      <c r="G10" s="117"/>
      <c r="H10" s="117"/>
      <c r="I10" s="54"/>
      <c r="J10" s="53"/>
    </row>
    <row r="11" spans="1:23" ht="24.95" customHeight="1" thickBot="1" x14ac:dyDescent="0.3">
      <c r="A11" s="133" t="s">
        <v>22</v>
      </c>
      <c r="B11" s="124"/>
      <c r="C11" s="124"/>
      <c r="D11" s="124"/>
      <c r="E11" s="124"/>
      <c r="F11" s="124"/>
      <c r="G11" s="124"/>
      <c r="H11" s="124"/>
      <c r="I11" s="8">
        <v>7</v>
      </c>
      <c r="J11" s="53"/>
    </row>
    <row r="12" spans="1:23" ht="24.95" customHeight="1" thickBot="1" x14ac:dyDescent="0.3">
      <c r="A12" s="116" t="s">
        <v>23</v>
      </c>
      <c r="B12" s="117"/>
      <c r="C12" s="117"/>
      <c r="D12" s="117"/>
      <c r="E12" s="117"/>
      <c r="F12" s="117"/>
      <c r="G12" s="117"/>
      <c r="H12" s="117"/>
      <c r="I12" s="52"/>
      <c r="J12" s="53"/>
    </row>
    <row r="13" spans="1:23" ht="24.95" customHeight="1" x14ac:dyDescent="0.25">
      <c r="A13" s="116"/>
      <c r="B13" s="117"/>
      <c r="C13" s="117"/>
      <c r="D13" s="117"/>
      <c r="E13" s="117"/>
      <c r="F13" s="117"/>
      <c r="G13" s="117"/>
      <c r="H13" s="117"/>
      <c r="I13" s="52"/>
      <c r="J13" s="53"/>
      <c r="N13" s="99" t="s">
        <v>90</v>
      </c>
      <c r="O13" s="100"/>
      <c r="P13" s="100"/>
      <c r="Q13" s="100"/>
      <c r="R13" s="100"/>
      <c r="S13" s="100"/>
      <c r="T13" s="100"/>
      <c r="U13" s="100"/>
      <c r="V13" s="100"/>
      <c r="W13" s="101"/>
    </row>
    <row r="14" spans="1:23" ht="24.95" customHeight="1" thickBot="1" x14ac:dyDescent="0.3">
      <c r="A14" s="118" t="s">
        <v>24</v>
      </c>
      <c r="B14" s="117"/>
      <c r="C14" s="117"/>
      <c r="D14" s="117"/>
      <c r="E14" s="117"/>
      <c r="F14" s="117"/>
      <c r="G14" s="117"/>
      <c r="H14" s="117"/>
      <c r="I14" s="52"/>
      <c r="J14" s="53"/>
      <c r="N14" s="102"/>
      <c r="O14" s="103"/>
      <c r="P14" s="103"/>
      <c r="Q14" s="103"/>
      <c r="R14" s="103"/>
      <c r="S14" s="103"/>
      <c r="T14" s="103"/>
      <c r="U14" s="103"/>
      <c r="V14" s="103"/>
      <c r="W14" s="104"/>
    </row>
    <row r="15" spans="1:23" ht="44.25" customHeight="1" thickBot="1" x14ac:dyDescent="0.3">
      <c r="A15" s="55"/>
      <c r="B15" s="52"/>
      <c r="C15" s="52"/>
      <c r="D15" s="52"/>
      <c r="E15" s="52"/>
      <c r="F15" s="38" t="s">
        <v>27</v>
      </c>
      <c r="G15" s="18">
        <f>1000*I16*I7/(1.163*I11^0.5)</f>
        <v>292.49185357549823</v>
      </c>
      <c r="H15" s="52"/>
      <c r="I15" s="52"/>
      <c r="J15" s="53"/>
      <c r="K15" s="10"/>
      <c r="L15" s="10"/>
      <c r="M15" s="10"/>
      <c r="O15" s="10"/>
      <c r="P15" s="10"/>
      <c r="Q15" s="10"/>
      <c r="R15" s="10"/>
    </row>
    <row r="16" spans="1:23" ht="24.95" customHeight="1" thickBot="1" x14ac:dyDescent="0.3">
      <c r="A16" s="108" t="s">
        <v>25</v>
      </c>
      <c r="B16" s="109"/>
      <c r="C16" s="109"/>
      <c r="D16" s="109"/>
      <c r="E16" s="109"/>
      <c r="F16" s="109"/>
      <c r="G16" s="109"/>
      <c r="H16" s="109"/>
      <c r="I16" s="8">
        <v>4.4999999999999998E-2</v>
      </c>
      <c r="J16" s="53"/>
      <c r="N16" s="10"/>
    </row>
    <row r="17" spans="1:23" ht="24.75" customHeight="1" thickBot="1" x14ac:dyDescent="0.3">
      <c r="A17" s="108" t="s">
        <v>29</v>
      </c>
      <c r="B17" s="109"/>
      <c r="C17" s="109"/>
      <c r="D17" s="109"/>
      <c r="E17" s="109"/>
      <c r="F17" s="109"/>
      <c r="G17" s="109"/>
      <c r="H17" s="109"/>
      <c r="I17" s="26">
        <f>(G15*4/3.14)^0.5</f>
        <v>19.302877696274269</v>
      </c>
      <c r="J17" s="53"/>
    </row>
    <row r="18" spans="1:23" ht="27" customHeight="1" thickBot="1" x14ac:dyDescent="0.3">
      <c r="A18" s="55"/>
      <c r="B18" s="52"/>
      <c r="C18" s="52"/>
      <c r="D18" s="52"/>
      <c r="E18" s="52"/>
      <c r="F18" s="52"/>
      <c r="G18" s="52"/>
      <c r="H18" s="52"/>
      <c r="I18" s="52"/>
      <c r="J18" s="53"/>
    </row>
    <row r="19" spans="1:23" ht="36.75" customHeight="1" thickBot="1" x14ac:dyDescent="0.3">
      <c r="A19" s="122" t="s">
        <v>13</v>
      </c>
      <c r="B19" s="119" t="s">
        <v>12</v>
      </c>
      <c r="C19" s="120"/>
      <c r="D19" s="120"/>
      <c r="E19" s="120"/>
      <c r="F19" s="120"/>
      <c r="G19" s="120"/>
      <c r="H19" s="121"/>
      <c r="I19" s="2" t="s">
        <v>11</v>
      </c>
      <c r="J19" s="111" t="s">
        <v>14</v>
      </c>
    </row>
    <row r="20" spans="1:23" ht="35.25" customHeight="1" thickBot="1" x14ac:dyDescent="0.3">
      <c r="A20" s="123"/>
      <c r="B20" s="4" t="s">
        <v>4</v>
      </c>
      <c r="C20" s="4" t="s">
        <v>5</v>
      </c>
      <c r="D20" s="4" t="s">
        <v>6</v>
      </c>
      <c r="E20" s="4" t="s">
        <v>7</v>
      </c>
      <c r="F20" s="4" t="s">
        <v>8</v>
      </c>
      <c r="G20" s="4" t="s">
        <v>9</v>
      </c>
      <c r="H20" s="4" t="s">
        <v>10</v>
      </c>
      <c r="I20" s="2"/>
      <c r="J20" s="112"/>
      <c r="Q20" s="105" t="s">
        <v>93</v>
      </c>
      <c r="R20" s="106"/>
      <c r="S20" s="106"/>
      <c r="T20" s="106"/>
      <c r="U20" s="106"/>
      <c r="V20" s="106"/>
      <c r="W20" s="107"/>
    </row>
    <row r="21" spans="1:23" ht="24" customHeight="1" thickBot="1" x14ac:dyDescent="0.3">
      <c r="A21" s="4" t="s">
        <v>3</v>
      </c>
      <c r="B21" s="4">
        <v>40</v>
      </c>
      <c r="C21" s="4">
        <v>0.6</v>
      </c>
      <c r="D21" s="4">
        <v>0</v>
      </c>
      <c r="E21" s="4">
        <v>30.3</v>
      </c>
      <c r="F21" s="4">
        <v>3.6</v>
      </c>
      <c r="G21" s="4">
        <v>0.4</v>
      </c>
      <c r="H21" s="4">
        <v>25.1</v>
      </c>
      <c r="I21" s="4">
        <v>10.199999999999999</v>
      </c>
      <c r="J21" s="5">
        <v>85</v>
      </c>
      <c r="Q21" s="108"/>
      <c r="R21" s="109"/>
      <c r="S21" s="109"/>
      <c r="T21" s="109"/>
      <c r="U21" s="109"/>
      <c r="V21" s="109"/>
      <c r="W21" s="110"/>
    </row>
    <row r="22" spans="1:23" x14ac:dyDescent="0.25">
      <c r="A22" s="56"/>
      <c r="B22" s="52"/>
      <c r="C22" s="52"/>
      <c r="D22" s="52"/>
      <c r="E22" s="52"/>
      <c r="F22" s="52"/>
      <c r="G22" s="52"/>
      <c r="H22" s="52"/>
      <c r="I22" s="52"/>
      <c r="J22" s="53"/>
      <c r="Q22" s="55" t="s">
        <v>94</v>
      </c>
      <c r="R22" s="52"/>
      <c r="S22" s="52"/>
      <c r="T22" s="52"/>
      <c r="U22" s="52"/>
      <c r="V22" s="52"/>
      <c r="W22" s="53"/>
    </row>
    <row r="23" spans="1:23" ht="15.75" thickBot="1" x14ac:dyDescent="0.3">
      <c r="A23" s="55" t="s">
        <v>1</v>
      </c>
      <c r="B23" s="52"/>
      <c r="C23" s="52"/>
      <c r="D23" s="52"/>
      <c r="E23" s="52"/>
      <c r="F23" s="52"/>
      <c r="G23" s="52"/>
      <c r="H23" s="52"/>
      <c r="I23" s="52"/>
      <c r="J23" s="53"/>
      <c r="Q23" s="79" t="s">
        <v>91</v>
      </c>
      <c r="R23" s="80"/>
      <c r="S23" s="80" t="s">
        <v>92</v>
      </c>
      <c r="T23" s="80"/>
      <c r="U23" s="80"/>
      <c r="V23" s="80"/>
      <c r="W23" s="81"/>
    </row>
    <row r="24" spans="1:23" x14ac:dyDescent="0.25">
      <c r="A24" s="55" t="s">
        <v>2</v>
      </c>
      <c r="B24" s="52"/>
      <c r="C24" s="52"/>
      <c r="D24" s="52"/>
      <c r="E24" s="52"/>
      <c r="F24" s="52"/>
      <c r="G24" s="52"/>
      <c r="H24" s="52"/>
      <c r="I24" s="52"/>
      <c r="J24" s="53"/>
    </row>
    <row r="25" spans="1:23" ht="15.75" thickBot="1" x14ac:dyDescent="0.3">
      <c r="A25" s="57" t="s">
        <v>58</v>
      </c>
      <c r="B25" s="58"/>
      <c r="C25" s="58"/>
      <c r="D25" s="58"/>
      <c r="E25" s="58"/>
      <c r="F25" s="58"/>
      <c r="G25" s="58"/>
      <c r="H25" s="58"/>
      <c r="I25" s="59"/>
      <c r="J25" s="60"/>
    </row>
    <row r="26" spans="1:23" ht="27.75" customHeight="1" thickBot="1" x14ac:dyDescent="0.3">
      <c r="A26" s="55"/>
      <c r="B26" s="52"/>
      <c r="C26" s="52"/>
      <c r="D26" s="52"/>
      <c r="E26" s="52"/>
      <c r="F26" s="52"/>
      <c r="G26" s="52"/>
      <c r="H26" s="61" t="s">
        <v>27</v>
      </c>
      <c r="I26" s="6">
        <f>0.0889*(E21+0.375*D21)+0.265*F21-0.0333*H21</f>
        <v>2.8118400000000006</v>
      </c>
      <c r="J26" s="53"/>
    </row>
    <row r="27" spans="1:23" x14ac:dyDescent="0.25">
      <c r="A27" s="55"/>
      <c r="B27" s="52"/>
      <c r="C27" s="52"/>
      <c r="D27" s="52"/>
      <c r="E27" s="52"/>
      <c r="F27" s="52"/>
      <c r="G27" s="52"/>
      <c r="H27" s="52"/>
      <c r="I27" s="52"/>
      <c r="J27" s="53"/>
    </row>
    <row r="28" spans="1:23" x14ac:dyDescent="0.25">
      <c r="A28" s="116" t="s">
        <v>59</v>
      </c>
      <c r="B28" s="117"/>
      <c r="C28" s="117"/>
      <c r="D28" s="117"/>
      <c r="E28" s="38"/>
      <c r="F28" s="38"/>
      <c r="G28" s="38"/>
      <c r="H28" s="38"/>
      <c r="I28" s="38"/>
      <c r="J28" s="53"/>
    </row>
    <row r="29" spans="1:23" ht="15.75" thickBot="1" x14ac:dyDescent="0.3">
      <c r="A29" s="62"/>
      <c r="B29" s="38"/>
      <c r="C29" s="38"/>
      <c r="D29" s="38"/>
      <c r="E29" s="38"/>
      <c r="F29" s="38"/>
      <c r="G29" s="38"/>
      <c r="H29" s="38"/>
      <c r="I29" s="38"/>
      <c r="J29" s="53"/>
    </row>
    <row r="30" spans="1:23" ht="28.5" customHeight="1" thickBot="1" x14ac:dyDescent="0.3">
      <c r="A30" s="62"/>
      <c r="B30" s="38"/>
      <c r="C30" s="38"/>
      <c r="D30" s="38"/>
      <c r="E30" s="63" t="s">
        <v>27</v>
      </c>
      <c r="F30" s="18">
        <f>0.79*I26+0.8*G21/100</f>
        <v>2.2245536000000006</v>
      </c>
      <c r="G30" s="38"/>
      <c r="H30" s="38"/>
      <c r="I30" s="38"/>
      <c r="J30" s="53"/>
      <c r="R30" s="7"/>
    </row>
    <row r="31" spans="1:23" ht="29.1" customHeight="1" thickBot="1" x14ac:dyDescent="0.3">
      <c r="A31" s="62"/>
      <c r="B31" s="38"/>
      <c r="C31" s="38"/>
      <c r="D31" s="38"/>
      <c r="E31" s="38" t="s">
        <v>27</v>
      </c>
      <c r="F31" s="18">
        <f>0.01866*(E21+0.375*D21)</f>
        <v>0.56539799999999996</v>
      </c>
      <c r="G31" s="38"/>
      <c r="H31" s="38"/>
      <c r="I31" s="38"/>
      <c r="J31" s="53"/>
    </row>
    <row r="32" spans="1:23" ht="29.1" customHeight="1" thickBot="1" x14ac:dyDescent="0.3">
      <c r="A32" s="62"/>
      <c r="B32" s="38"/>
      <c r="C32" s="38"/>
      <c r="D32" s="38"/>
      <c r="E32" s="38"/>
      <c r="F32" s="29" t="s">
        <v>27</v>
      </c>
      <c r="G32" s="18">
        <f>0.111*F21+0.0124*B21+0.0161*I26</f>
        <v>0.94087062399999999</v>
      </c>
      <c r="H32" s="38"/>
      <c r="I32" s="38"/>
      <c r="J32" s="53"/>
    </row>
    <row r="33" spans="1:23" ht="29.1" customHeight="1" thickBot="1" x14ac:dyDescent="0.3">
      <c r="A33" s="139" t="s">
        <v>60</v>
      </c>
      <c r="B33" s="140"/>
      <c r="C33" s="140"/>
      <c r="D33" s="140"/>
      <c r="E33" s="64"/>
      <c r="F33" s="28"/>
      <c r="G33" s="38"/>
      <c r="H33" s="38"/>
      <c r="I33" s="38"/>
      <c r="J33" s="53"/>
    </row>
    <row r="34" spans="1:23" ht="29.1" customHeight="1" thickBot="1" x14ac:dyDescent="0.3">
      <c r="A34" s="65"/>
      <c r="B34" s="64"/>
      <c r="C34" s="64"/>
      <c r="D34" s="63" t="s">
        <v>27</v>
      </c>
      <c r="E34" s="18">
        <f>F30+F31+G32</f>
        <v>3.7308222240000006</v>
      </c>
      <c r="F34" s="28"/>
      <c r="G34" s="38"/>
      <c r="H34" s="38"/>
      <c r="I34" s="38"/>
      <c r="J34" s="53"/>
    </row>
    <row r="35" spans="1:23" ht="29.1" customHeight="1" thickBot="1" x14ac:dyDescent="0.3">
      <c r="A35" s="65"/>
      <c r="B35" s="38" t="s">
        <v>62</v>
      </c>
      <c r="C35" s="38"/>
      <c r="D35" s="38"/>
      <c r="E35" s="20">
        <v>1.4</v>
      </c>
      <c r="F35" s="28"/>
      <c r="G35" s="38"/>
      <c r="H35" s="38"/>
      <c r="I35" s="38"/>
      <c r="J35" s="53"/>
    </row>
    <row r="36" spans="1:23" ht="29.1" customHeight="1" thickBot="1" x14ac:dyDescent="0.3">
      <c r="A36" s="139" t="s">
        <v>61</v>
      </c>
      <c r="B36" s="140"/>
      <c r="C36" s="140"/>
      <c r="D36" s="140"/>
      <c r="E36" s="30"/>
      <c r="F36" s="28"/>
      <c r="G36" s="38"/>
      <c r="H36" s="38"/>
      <c r="I36" s="38"/>
      <c r="J36" s="53"/>
    </row>
    <row r="37" spans="1:23" ht="29.1" customHeight="1" thickBot="1" x14ac:dyDescent="0.3">
      <c r="A37" s="62"/>
      <c r="B37" s="38"/>
      <c r="C37" s="38"/>
      <c r="D37" s="38"/>
      <c r="E37" s="24" t="s">
        <v>27</v>
      </c>
      <c r="F37" s="13">
        <f>G32+0.016*(E35-1)*F30</f>
        <v>0.95510776704</v>
      </c>
      <c r="G37" s="38"/>
      <c r="H37" s="38"/>
      <c r="I37" s="38"/>
      <c r="J37" s="53"/>
    </row>
    <row r="38" spans="1:23" ht="29.1" customHeight="1" thickBot="1" x14ac:dyDescent="0.3">
      <c r="A38" s="139" t="s">
        <v>63</v>
      </c>
      <c r="B38" s="140"/>
      <c r="C38" s="140"/>
      <c r="D38" s="140"/>
      <c r="E38" s="30"/>
      <c r="F38" s="28"/>
      <c r="G38" s="38"/>
      <c r="H38" s="38"/>
      <c r="I38" s="38"/>
      <c r="J38" s="53"/>
    </row>
    <row r="39" spans="1:23" ht="29.1" customHeight="1" thickBot="1" x14ac:dyDescent="0.3">
      <c r="A39" s="65"/>
      <c r="B39" s="38"/>
      <c r="C39" s="64"/>
      <c r="D39" s="64"/>
      <c r="E39" s="24" t="s">
        <v>27</v>
      </c>
      <c r="F39" s="13">
        <f>F31+F30+F37+(E35-1)*I26</f>
        <v>4.86979536704</v>
      </c>
      <c r="G39" s="38"/>
      <c r="H39" s="38"/>
      <c r="I39" s="38"/>
      <c r="J39" s="53"/>
    </row>
    <row r="40" spans="1:23" ht="29.1" customHeight="1" x14ac:dyDescent="0.25">
      <c r="A40" s="62"/>
      <c r="B40" s="38"/>
      <c r="C40" s="38"/>
      <c r="D40" s="38"/>
      <c r="E40" s="38"/>
      <c r="F40" s="38"/>
      <c r="G40" s="38"/>
      <c r="H40" s="38"/>
      <c r="I40" s="38"/>
      <c r="J40" s="53"/>
    </row>
    <row r="41" spans="1:23" x14ac:dyDescent="0.25">
      <c r="A41" s="55" t="s">
        <v>15</v>
      </c>
      <c r="B41" s="52"/>
      <c r="C41" s="52"/>
      <c r="D41" s="52"/>
      <c r="E41" s="52"/>
      <c r="F41" s="52"/>
      <c r="G41" s="52"/>
      <c r="H41" s="52"/>
      <c r="I41" s="52"/>
      <c r="J41" s="53"/>
      <c r="P41" s="84"/>
    </row>
    <row r="42" spans="1:23" x14ac:dyDescent="0.25">
      <c r="A42" s="55" t="s">
        <v>16</v>
      </c>
      <c r="B42" s="52"/>
      <c r="C42" s="52"/>
      <c r="D42" s="52"/>
      <c r="E42" s="52"/>
      <c r="F42" s="52"/>
      <c r="G42" s="52"/>
      <c r="H42" s="52"/>
      <c r="I42" s="52"/>
      <c r="J42" s="53"/>
      <c r="P42" s="84"/>
    </row>
    <row r="43" spans="1:23" ht="15.75" thickBot="1" x14ac:dyDescent="0.3">
      <c r="A43" s="55"/>
      <c r="B43" s="52"/>
      <c r="C43" s="52"/>
      <c r="D43" s="52"/>
      <c r="E43" s="52"/>
      <c r="F43" s="52"/>
      <c r="G43" s="52"/>
      <c r="H43" s="52"/>
      <c r="I43" s="52"/>
      <c r="J43" s="53"/>
      <c r="P43" s="84"/>
    </row>
    <row r="44" spans="1:23" ht="15.75" thickBot="1" x14ac:dyDescent="0.3">
      <c r="A44" s="55"/>
      <c r="B44" s="61" t="s">
        <v>27</v>
      </c>
      <c r="C44" s="15">
        <f>I26*E35</f>
        <v>3.9365760000000005</v>
      </c>
      <c r="D44" s="52"/>
      <c r="E44" s="52"/>
      <c r="F44" s="52"/>
      <c r="G44" s="52"/>
      <c r="H44" s="52"/>
      <c r="I44" s="52"/>
      <c r="J44" s="53"/>
      <c r="P44" s="84"/>
    </row>
    <row r="45" spans="1:23" x14ac:dyDescent="0.25">
      <c r="A45" s="66"/>
      <c r="B45" s="52"/>
      <c r="C45" s="52"/>
      <c r="D45" s="52"/>
      <c r="E45" s="52"/>
      <c r="F45" s="52"/>
      <c r="G45" s="52"/>
      <c r="H45" s="52"/>
      <c r="I45" s="52"/>
      <c r="J45" s="53"/>
      <c r="P45" s="84"/>
    </row>
    <row r="46" spans="1:23" ht="15.75" thickBot="1" x14ac:dyDescent="0.3">
      <c r="A46" s="55"/>
      <c r="B46" s="52"/>
      <c r="C46" s="52"/>
      <c r="D46" s="52"/>
      <c r="E46" s="52"/>
      <c r="F46" s="52"/>
      <c r="G46" s="52"/>
      <c r="H46" s="52"/>
      <c r="I46" s="52"/>
      <c r="J46" s="53"/>
    </row>
    <row r="47" spans="1:23" x14ac:dyDescent="0.25">
      <c r="A47" s="55" t="s">
        <v>30</v>
      </c>
      <c r="B47" s="52"/>
      <c r="C47" s="52"/>
      <c r="D47" s="52"/>
      <c r="E47" s="52"/>
      <c r="F47" s="52"/>
      <c r="G47" s="52"/>
      <c r="H47" s="52"/>
      <c r="I47" s="52"/>
      <c r="J47" s="53"/>
      <c r="O47" s="87" t="s">
        <v>100</v>
      </c>
      <c r="P47" s="88"/>
      <c r="Q47" s="88"/>
      <c r="R47" s="88"/>
      <c r="S47" s="88"/>
      <c r="T47" s="88"/>
      <c r="U47" s="88"/>
      <c r="V47" s="88"/>
      <c r="W47" s="89"/>
    </row>
    <row r="48" spans="1:23" x14ac:dyDescent="0.25">
      <c r="A48" s="55"/>
      <c r="B48" s="52"/>
      <c r="C48" s="52"/>
      <c r="D48" s="52"/>
      <c r="E48" s="52"/>
      <c r="F48" s="52"/>
      <c r="G48" s="52"/>
      <c r="H48" s="52"/>
      <c r="I48" s="52"/>
      <c r="J48" s="53"/>
      <c r="O48" s="125" t="s">
        <v>102</v>
      </c>
      <c r="P48" s="126"/>
      <c r="Q48" s="126"/>
      <c r="R48" s="126"/>
      <c r="S48" s="126"/>
      <c r="T48" s="126"/>
      <c r="U48" s="126"/>
      <c r="V48" s="126"/>
      <c r="W48" s="127"/>
    </row>
    <row r="49" spans="1:23" ht="15.75" thickBot="1" x14ac:dyDescent="0.3">
      <c r="A49" s="55" t="s">
        <v>31</v>
      </c>
      <c r="B49" s="52"/>
      <c r="C49" s="52"/>
      <c r="D49" s="52"/>
      <c r="E49" s="52"/>
      <c r="F49" s="52"/>
      <c r="G49" s="52"/>
      <c r="H49" s="52"/>
      <c r="I49" s="52"/>
      <c r="J49" s="53"/>
      <c r="O49" s="125"/>
      <c r="P49" s="126"/>
      <c r="Q49" s="126"/>
      <c r="R49" s="126"/>
      <c r="S49" s="126"/>
      <c r="T49" s="126"/>
      <c r="U49" s="126"/>
      <c r="V49" s="126"/>
      <c r="W49" s="127"/>
    </row>
    <row r="50" spans="1:23" s="9" customFormat="1" ht="27" customHeight="1" thickBot="1" x14ac:dyDescent="0.3">
      <c r="A50" s="55"/>
      <c r="B50" s="38"/>
      <c r="C50" s="38"/>
      <c r="D50" s="38"/>
      <c r="E50" s="38" t="s">
        <v>27</v>
      </c>
      <c r="F50" s="18">
        <f>1.2*(F52+F55)</f>
        <v>0.5783311350934186</v>
      </c>
      <c r="G50" s="116" t="s">
        <v>89</v>
      </c>
      <c r="H50" s="117"/>
      <c r="I50" s="38"/>
      <c r="J50" s="67"/>
      <c r="N50"/>
      <c r="O50" s="128" t="s">
        <v>95</v>
      </c>
      <c r="P50" s="129"/>
      <c r="Q50" s="129"/>
      <c r="R50" s="129"/>
      <c r="S50" s="129"/>
      <c r="T50" s="90"/>
      <c r="U50" s="90"/>
      <c r="V50" s="94" t="s">
        <v>101</v>
      </c>
      <c r="W50" s="91"/>
    </row>
    <row r="51" spans="1:23" s="9" customFormat="1" ht="27" customHeight="1" thickBot="1" x14ac:dyDescent="0.3">
      <c r="A51" s="133" t="s">
        <v>32</v>
      </c>
      <c r="B51" s="124"/>
      <c r="C51" s="124"/>
      <c r="D51" s="124"/>
      <c r="E51" s="124"/>
      <c r="F51" s="38"/>
      <c r="G51" s="38"/>
      <c r="H51" s="38"/>
      <c r="I51" s="38"/>
      <c r="J51" s="67"/>
      <c r="O51" s="128" t="s">
        <v>99</v>
      </c>
      <c r="P51" s="129"/>
      <c r="Q51" s="129"/>
      <c r="R51" s="129"/>
      <c r="S51" s="129"/>
      <c r="T51" s="129"/>
      <c r="U51" s="129"/>
      <c r="V51" s="95">
        <f>(4*0.14*0.14/3.14)^0.5</f>
        <v>0.1580131414352681</v>
      </c>
      <c r="W51" s="91"/>
    </row>
    <row r="52" spans="1:23" s="9" customFormat="1" ht="41.25" customHeight="1" thickBot="1" x14ac:dyDescent="0.3">
      <c r="A52" s="55"/>
      <c r="B52" s="52"/>
      <c r="C52" s="38"/>
      <c r="D52" s="38"/>
      <c r="E52" s="38" t="s">
        <v>27</v>
      </c>
      <c r="F52" s="23">
        <f>I59*I11*D66*D66*I85/(2*I61)</f>
        <v>4.3251260103140281E-2</v>
      </c>
      <c r="G52" s="38"/>
      <c r="H52" s="38"/>
      <c r="I52" s="38"/>
      <c r="J52" s="67"/>
      <c r="L52"/>
      <c r="O52" s="128" t="s">
        <v>98</v>
      </c>
      <c r="P52" s="129"/>
      <c r="Q52" s="129"/>
      <c r="R52" s="129"/>
      <c r="S52" s="129"/>
      <c r="T52" s="129"/>
      <c r="U52" s="129"/>
      <c r="V52" s="95">
        <f>(4*0.14*0.2/3.14)^0.5</f>
        <v>0.18886182729423434</v>
      </c>
      <c r="W52" s="91"/>
    </row>
    <row r="53" spans="1:23" s="9" customFormat="1" ht="27" customHeight="1" thickBot="1" x14ac:dyDescent="0.3">
      <c r="A53" s="133" t="s">
        <v>33</v>
      </c>
      <c r="B53" s="124"/>
      <c r="C53" s="124"/>
      <c r="D53" s="124"/>
      <c r="E53" s="124"/>
      <c r="F53" s="38"/>
      <c r="G53" s="38"/>
      <c r="H53" s="38"/>
      <c r="I53" s="38"/>
      <c r="J53" s="67"/>
      <c r="O53" s="128" t="s">
        <v>103</v>
      </c>
      <c r="P53" s="129"/>
      <c r="Q53" s="129"/>
      <c r="R53" s="129"/>
      <c r="S53" s="129"/>
      <c r="T53" s="129"/>
      <c r="U53" s="129"/>
      <c r="V53" s="95">
        <f>(4*0.14*0.27/3.14)^0.5</f>
        <v>0.21943761355346131</v>
      </c>
      <c r="W53" s="91"/>
    </row>
    <row r="54" spans="1:23" s="9" customFormat="1" ht="27" customHeight="1" thickBot="1" x14ac:dyDescent="0.3">
      <c r="A54" s="68"/>
      <c r="B54" s="69"/>
      <c r="C54" s="69"/>
      <c r="D54" s="69"/>
      <c r="E54" s="69"/>
      <c r="F54" s="38"/>
      <c r="G54" s="38"/>
      <c r="H54" s="38"/>
      <c r="I54" s="38"/>
      <c r="J54" s="67"/>
      <c r="O54" s="128" t="s">
        <v>96</v>
      </c>
      <c r="P54" s="129"/>
      <c r="Q54" s="129"/>
      <c r="R54" s="129"/>
      <c r="S54" s="129"/>
      <c r="T54" s="129"/>
      <c r="U54" s="129"/>
      <c r="V54" s="129"/>
      <c r="W54" s="91"/>
    </row>
    <row r="55" spans="1:23" s="9" customFormat="1" ht="31.5" customHeight="1" thickBot="1" x14ac:dyDescent="0.3">
      <c r="A55" s="55"/>
      <c r="B55" s="52"/>
      <c r="C55" s="38"/>
      <c r="D55" s="38"/>
      <c r="E55" s="38" t="s">
        <v>27</v>
      </c>
      <c r="F55" s="23">
        <f>I85*J56*D66^2/2</f>
        <v>0.43869135247470853</v>
      </c>
      <c r="G55" s="38"/>
      <c r="H55" s="38"/>
      <c r="I55" s="38"/>
      <c r="J55" s="67"/>
      <c r="O55" s="145" t="s">
        <v>97</v>
      </c>
      <c r="P55" s="146"/>
      <c r="Q55" s="146"/>
      <c r="R55" s="146"/>
      <c r="S55" s="146"/>
      <c r="T55" s="146"/>
      <c r="U55" s="92"/>
      <c r="V55" s="92"/>
      <c r="W55" s="93"/>
    </row>
    <row r="56" spans="1:23" s="9" customFormat="1" ht="57" customHeight="1" thickBot="1" x14ac:dyDescent="0.3">
      <c r="A56" s="55"/>
      <c r="B56" s="134" t="s">
        <v>34</v>
      </c>
      <c r="C56" s="124"/>
      <c r="D56" s="124"/>
      <c r="E56" s="124"/>
      <c r="F56" s="124"/>
      <c r="G56" s="124"/>
      <c r="H56" s="124"/>
      <c r="I56" s="124"/>
      <c r="J56" s="37">
        <f>0.5+E57*1.2+E58*0.5+2.5</f>
        <v>7.1</v>
      </c>
    </row>
    <row r="57" spans="1:23" s="9" customFormat="1" ht="22.5" customHeight="1" thickBot="1" x14ac:dyDescent="0.3">
      <c r="A57" s="55" t="s">
        <v>54</v>
      </c>
      <c r="B57" s="70"/>
      <c r="C57" s="69"/>
      <c r="D57" s="69"/>
      <c r="E57" s="27">
        <v>3</v>
      </c>
      <c r="F57" s="69"/>
      <c r="G57" s="69"/>
      <c r="H57" s="69"/>
      <c r="I57" s="69"/>
      <c r="J57" s="67"/>
      <c r="L57" s="82" t="s">
        <v>87</v>
      </c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</row>
    <row r="58" spans="1:23" s="9" customFormat="1" ht="25.5" customHeight="1" thickBot="1" x14ac:dyDescent="0.3">
      <c r="A58" s="55" t="s">
        <v>55</v>
      </c>
      <c r="B58" s="70"/>
      <c r="C58" s="69"/>
      <c r="D58" s="69"/>
      <c r="E58" s="20">
        <v>1</v>
      </c>
      <c r="F58" s="69"/>
      <c r="G58" s="69"/>
      <c r="H58" s="69"/>
      <c r="I58" s="69"/>
      <c r="J58" s="71"/>
      <c r="L58" s="82" t="s">
        <v>88</v>
      </c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</row>
    <row r="59" spans="1:23" s="9" customFormat="1" ht="27" customHeight="1" thickBot="1" x14ac:dyDescent="0.3">
      <c r="A59" s="55"/>
      <c r="B59" s="124" t="s">
        <v>35</v>
      </c>
      <c r="C59" s="124"/>
      <c r="D59" s="124"/>
      <c r="E59" s="124"/>
      <c r="F59" s="124"/>
      <c r="G59" s="124"/>
      <c r="H59" s="124"/>
      <c r="I59" s="21">
        <v>0.02</v>
      </c>
      <c r="J59" s="67"/>
      <c r="N59" s="87" t="s">
        <v>100</v>
      </c>
      <c r="O59" s="88"/>
      <c r="P59" s="97"/>
      <c r="Q59" s="97"/>
      <c r="R59" s="97"/>
      <c r="S59" s="97"/>
      <c r="T59" s="97"/>
      <c r="U59" s="98"/>
    </row>
    <row r="60" spans="1:23" s="9" customFormat="1" ht="48" customHeight="1" thickBot="1" x14ac:dyDescent="0.3">
      <c r="A60" s="62"/>
      <c r="B60" s="124" t="s">
        <v>36</v>
      </c>
      <c r="C60" s="124"/>
      <c r="D60" s="124"/>
      <c r="E60" s="124"/>
      <c r="F60" s="124"/>
      <c r="G60" s="124"/>
      <c r="H60" s="124"/>
      <c r="I60" s="38"/>
      <c r="J60" s="36" t="s">
        <v>68</v>
      </c>
      <c r="N60" s="118" t="s">
        <v>104</v>
      </c>
      <c r="O60" s="136"/>
      <c r="P60" s="136"/>
      <c r="Q60" s="136"/>
      <c r="R60" s="136"/>
      <c r="S60" s="136"/>
      <c r="T60" s="136"/>
      <c r="U60" s="144"/>
    </row>
    <row r="61" spans="1:23" s="9" customFormat="1" ht="27" customHeight="1" thickBot="1" x14ac:dyDescent="0.3">
      <c r="A61" s="72" t="s">
        <v>37</v>
      </c>
      <c r="B61" s="117" t="s">
        <v>38</v>
      </c>
      <c r="C61" s="117"/>
      <c r="D61" s="117"/>
      <c r="E61" s="117"/>
      <c r="F61" s="117"/>
      <c r="G61" s="117"/>
      <c r="H61" s="117"/>
      <c r="I61" s="33">
        <v>0.2</v>
      </c>
      <c r="J61" s="35">
        <f>I17/100</f>
        <v>0.19302877696274268</v>
      </c>
      <c r="N61" s="2" t="s">
        <v>105</v>
      </c>
      <c r="O61" s="4" t="s">
        <v>106</v>
      </c>
      <c r="P61" s="4" t="s">
        <v>107</v>
      </c>
      <c r="Q61" s="4" t="s">
        <v>108</v>
      </c>
      <c r="R61" s="51"/>
      <c r="S61" s="51"/>
      <c r="T61" s="51"/>
      <c r="U61" s="67"/>
    </row>
    <row r="62" spans="1:23" s="9" customFormat="1" ht="27" customHeight="1" thickBot="1" x14ac:dyDescent="0.3">
      <c r="A62" s="73" t="s">
        <v>52</v>
      </c>
      <c r="B62" s="74"/>
      <c r="C62" s="74"/>
      <c r="D62" s="74"/>
      <c r="E62" s="74"/>
      <c r="F62" s="38"/>
      <c r="G62" s="38"/>
      <c r="H62" s="38"/>
      <c r="I62" s="21">
        <v>10</v>
      </c>
      <c r="J62" s="67"/>
      <c r="N62" s="4">
        <v>20</v>
      </c>
      <c r="O62" s="4">
        <f>N62*8</f>
        <v>160</v>
      </c>
      <c r="P62" s="96">
        <f>(4*O62/3.14)^0.5</f>
        <v>14.276612204964993</v>
      </c>
      <c r="Q62" s="96">
        <f>P62*10</f>
        <v>142.76612204964994</v>
      </c>
      <c r="R62" s="85"/>
      <c r="S62" s="85"/>
      <c r="T62" s="85"/>
      <c r="U62" s="86"/>
    </row>
    <row r="63" spans="1:23" s="9" customFormat="1" ht="27" customHeight="1" thickBot="1" x14ac:dyDescent="0.3">
      <c r="A63" s="73" t="s">
        <v>53</v>
      </c>
      <c r="B63" s="74"/>
      <c r="C63" s="74"/>
      <c r="D63" s="74"/>
      <c r="E63" s="75"/>
      <c r="F63" s="38"/>
      <c r="G63" s="38"/>
      <c r="H63" s="38"/>
      <c r="I63" s="25">
        <f>I62+F50</f>
        <v>10.578331135093418</v>
      </c>
      <c r="J63" s="67"/>
      <c r="K63" s="115" t="s">
        <v>78</v>
      </c>
      <c r="L63" s="115"/>
      <c r="Q63" s="11"/>
    </row>
    <row r="64" spans="1:23" s="11" customFormat="1" ht="27" customHeight="1" thickBot="1" x14ac:dyDescent="0.3">
      <c r="A64" s="113" t="s">
        <v>66</v>
      </c>
      <c r="B64" s="114"/>
      <c r="C64" s="114"/>
      <c r="D64" s="114"/>
      <c r="E64" s="114"/>
      <c r="F64" s="38"/>
      <c r="G64" s="38"/>
      <c r="H64" s="38"/>
      <c r="I64" s="25">
        <f>I78</f>
        <v>25.754292523280107</v>
      </c>
      <c r="J64" s="53"/>
      <c r="K64" s="42" t="s">
        <v>51</v>
      </c>
      <c r="L64" s="43"/>
      <c r="N64" s="9"/>
      <c r="Q64" s="9"/>
    </row>
    <row r="65" spans="1:19" s="9" customFormat="1" ht="27" customHeight="1" thickBot="1" x14ac:dyDescent="0.3">
      <c r="A65" s="133" t="s">
        <v>39</v>
      </c>
      <c r="B65" s="124"/>
      <c r="C65" s="124"/>
      <c r="D65" s="124"/>
      <c r="E65" s="124"/>
      <c r="F65" s="124"/>
      <c r="G65" s="124"/>
      <c r="H65" s="124"/>
      <c r="I65" s="38"/>
      <c r="J65" s="67"/>
      <c r="N65" s="11"/>
      <c r="Q65" s="11"/>
    </row>
    <row r="66" spans="1:19" s="9" customFormat="1" ht="36.75" customHeight="1" thickBot="1" x14ac:dyDescent="0.3">
      <c r="A66" s="55"/>
      <c r="B66" s="38"/>
      <c r="C66" s="38"/>
      <c r="D66" s="31">
        <f>F67/(0.785*I61^2)/3600</f>
        <v>0.38592754921325784</v>
      </c>
      <c r="E66" s="38"/>
      <c r="F66" s="38"/>
      <c r="G66" s="38"/>
      <c r="H66" s="38"/>
      <c r="I66" s="38"/>
      <c r="J66" s="67"/>
      <c r="N66" t="s">
        <v>57</v>
      </c>
    </row>
    <row r="67" spans="1:19" s="9" customFormat="1" ht="27" customHeight="1" thickBot="1" x14ac:dyDescent="0.3">
      <c r="A67" s="56" t="s">
        <v>67</v>
      </c>
      <c r="B67" s="3"/>
      <c r="C67" s="3"/>
      <c r="D67" s="3"/>
      <c r="E67" s="3"/>
      <c r="F67" s="31">
        <f>D70*F39</f>
        <v>43.625250163066667</v>
      </c>
      <c r="G67" s="3"/>
      <c r="H67" s="3"/>
      <c r="I67" s="38"/>
      <c r="J67" s="67"/>
    </row>
    <row r="68" spans="1:19" s="9" customFormat="1" ht="32.25" customHeight="1" thickBot="1" x14ac:dyDescent="0.3">
      <c r="A68" s="55"/>
      <c r="B68" s="38"/>
      <c r="C68" s="32">
        <f>F67/3600</f>
        <v>1.2118125045296297E-2</v>
      </c>
      <c r="D68" s="38"/>
      <c r="E68" s="38"/>
      <c r="F68" s="38"/>
      <c r="G68" s="76"/>
      <c r="H68" s="38"/>
      <c r="I68" s="34"/>
      <c r="J68" s="67"/>
    </row>
    <row r="69" spans="1:19" s="9" customFormat="1" ht="27" customHeight="1" thickBot="1" x14ac:dyDescent="0.3">
      <c r="A69" s="133" t="s">
        <v>40</v>
      </c>
      <c r="B69" s="124"/>
      <c r="C69" s="124"/>
      <c r="D69" s="124"/>
      <c r="E69" s="124"/>
      <c r="F69" s="124"/>
      <c r="G69" s="124"/>
      <c r="H69" s="124"/>
      <c r="I69" s="38"/>
      <c r="J69" s="67"/>
    </row>
    <row r="70" spans="1:19" ht="27" customHeight="1" thickBot="1" x14ac:dyDescent="0.3">
      <c r="A70" s="55"/>
      <c r="B70" s="52"/>
      <c r="C70" s="52"/>
      <c r="D70" s="18">
        <f>0.86*1000*I7/(I73*I72)</f>
        <v>8.9583333333333339</v>
      </c>
      <c r="E70" s="52"/>
      <c r="F70" s="52"/>
      <c r="G70" s="52"/>
      <c r="H70" s="52"/>
      <c r="I70" s="52"/>
      <c r="J70" s="53"/>
      <c r="N70" s="9"/>
      <c r="Q70" s="9"/>
      <c r="S70" s="11"/>
    </row>
    <row r="71" spans="1:19" ht="27" customHeight="1" thickBot="1" x14ac:dyDescent="0.3">
      <c r="A71" s="77" t="s">
        <v>64</v>
      </c>
      <c r="B71" s="78"/>
      <c r="C71" s="78"/>
      <c r="D71" s="78"/>
      <c r="E71" s="15">
        <f>D70/I7</f>
        <v>0.44791666666666669</v>
      </c>
      <c r="F71" s="52" t="s">
        <v>65</v>
      </c>
      <c r="G71" s="52"/>
      <c r="H71" s="52"/>
      <c r="I71" s="52"/>
      <c r="J71" s="53"/>
      <c r="S71" s="11"/>
    </row>
    <row r="72" spans="1:19" ht="27" customHeight="1" thickBot="1" x14ac:dyDescent="0.3">
      <c r="A72" s="55"/>
      <c r="B72" s="124" t="s">
        <v>41</v>
      </c>
      <c r="C72" s="124"/>
      <c r="D72" s="124"/>
      <c r="E72" s="124"/>
      <c r="F72" s="124"/>
      <c r="G72" s="124"/>
      <c r="H72" s="124"/>
      <c r="I72" s="39">
        <v>0.8</v>
      </c>
      <c r="J72" s="53"/>
      <c r="S72" s="11"/>
    </row>
    <row r="73" spans="1:19" ht="27" customHeight="1" thickBot="1" x14ac:dyDescent="0.3">
      <c r="A73" s="55"/>
      <c r="B73" s="124" t="s">
        <v>42</v>
      </c>
      <c r="C73" s="124"/>
      <c r="D73" s="124"/>
      <c r="E73" s="124"/>
      <c r="F73" s="124"/>
      <c r="G73" s="124"/>
      <c r="H73" s="124"/>
      <c r="I73" s="40">
        <v>2400</v>
      </c>
      <c r="J73" s="53"/>
      <c r="S73" s="11"/>
    </row>
    <row r="74" spans="1:19" ht="27" customHeight="1" thickBot="1" x14ac:dyDescent="0.3">
      <c r="A74" s="55"/>
      <c r="B74" s="124" t="s">
        <v>43</v>
      </c>
      <c r="C74" s="124"/>
      <c r="D74" s="124"/>
      <c r="E74" s="124"/>
      <c r="F74" s="124"/>
      <c r="G74" s="124"/>
      <c r="H74" s="124"/>
      <c r="I74" s="41">
        <f>E34</f>
        <v>3.7308222240000006</v>
      </c>
      <c r="J74" s="53"/>
    </row>
    <row r="75" spans="1:19" ht="27" customHeight="1" thickBot="1" x14ac:dyDescent="0.3">
      <c r="A75" s="55"/>
      <c r="B75" s="124" t="s">
        <v>44</v>
      </c>
      <c r="C75" s="124"/>
      <c r="D75" s="124"/>
      <c r="E75" s="124"/>
      <c r="F75" s="124"/>
      <c r="G75" s="124"/>
      <c r="H75" s="124"/>
      <c r="I75" s="41">
        <f>I26</f>
        <v>2.8118400000000006</v>
      </c>
      <c r="J75" s="53"/>
    </row>
    <row r="76" spans="1:19" ht="27" customHeight="1" thickBot="1" x14ac:dyDescent="0.3">
      <c r="A76" s="55"/>
      <c r="B76" s="124" t="s">
        <v>45</v>
      </c>
      <c r="C76" s="124"/>
      <c r="D76" s="124"/>
      <c r="E76" s="124"/>
      <c r="F76" s="124"/>
      <c r="G76" s="124"/>
      <c r="H76" s="124"/>
      <c r="I76" s="41">
        <f>E35</f>
        <v>1.4</v>
      </c>
      <c r="J76" s="53"/>
    </row>
    <row r="77" spans="1:19" ht="27" customHeight="1" thickBot="1" x14ac:dyDescent="0.3">
      <c r="A77" s="137" t="s">
        <v>46</v>
      </c>
      <c r="B77" s="138"/>
      <c r="C77" s="138"/>
      <c r="D77" s="138"/>
      <c r="E77" s="138"/>
      <c r="F77" s="138"/>
      <c r="G77" s="138"/>
      <c r="H77" s="138"/>
      <c r="I77" s="52"/>
      <c r="J77" s="53"/>
    </row>
    <row r="78" spans="1:19" ht="27" customHeight="1" thickBot="1" x14ac:dyDescent="0.3">
      <c r="A78" s="108"/>
      <c r="B78" s="109"/>
      <c r="C78" s="109"/>
      <c r="D78" s="109"/>
      <c r="E78" s="109"/>
      <c r="F78" s="109"/>
      <c r="G78" s="109"/>
      <c r="H78" s="109"/>
      <c r="I78" s="26">
        <f>I11*9.81*(I80-I85)</f>
        <v>25.754292523280107</v>
      </c>
      <c r="J78" s="53"/>
    </row>
    <row r="79" spans="1:19" ht="27" customHeight="1" thickBot="1" x14ac:dyDescent="0.3">
      <c r="A79" s="133" t="s">
        <v>47</v>
      </c>
      <c r="B79" s="124"/>
      <c r="C79" s="124"/>
      <c r="D79" s="124"/>
      <c r="E79" s="124"/>
      <c r="F79" s="124"/>
      <c r="G79" s="124"/>
      <c r="H79" s="124"/>
      <c r="I79" s="52"/>
      <c r="J79" s="53"/>
    </row>
    <row r="80" spans="1:19" ht="27" customHeight="1" thickBot="1" x14ac:dyDescent="0.3">
      <c r="A80" s="108"/>
      <c r="B80" s="109"/>
      <c r="C80" s="109"/>
      <c r="D80" s="109"/>
      <c r="E80" s="109"/>
      <c r="F80" s="109"/>
      <c r="G80" s="109"/>
      <c r="H80" s="109"/>
      <c r="I80" s="23">
        <f>1.293*273/(273+I82)</f>
        <v>1.204740614334471</v>
      </c>
      <c r="J80" s="53"/>
    </row>
    <row r="81" spans="1:10" ht="27" customHeight="1" thickBot="1" x14ac:dyDescent="0.3">
      <c r="A81" s="108"/>
      <c r="B81" s="109"/>
      <c r="C81" s="109"/>
      <c r="D81" s="109"/>
      <c r="E81" s="109"/>
      <c r="F81" s="109"/>
      <c r="G81" s="109"/>
      <c r="H81" s="109"/>
      <c r="I81" s="52"/>
      <c r="J81" s="53"/>
    </row>
    <row r="82" spans="1:10" ht="27" customHeight="1" thickBot="1" x14ac:dyDescent="0.3">
      <c r="A82" s="135" t="s">
        <v>56</v>
      </c>
      <c r="B82" s="124"/>
      <c r="C82" s="124"/>
      <c r="D82" s="124"/>
      <c r="E82" s="124"/>
      <c r="F82" s="124"/>
      <c r="G82" s="124"/>
      <c r="H82" s="143"/>
      <c r="I82" s="22">
        <v>20</v>
      </c>
      <c r="J82" s="53"/>
    </row>
    <row r="83" spans="1:10" ht="27" customHeight="1" x14ac:dyDescent="0.25">
      <c r="A83" s="116" t="s">
        <v>48</v>
      </c>
      <c r="B83" s="117"/>
      <c r="C83" s="117"/>
      <c r="D83" s="117"/>
      <c r="E83" s="117"/>
      <c r="F83" s="117"/>
      <c r="G83" s="117"/>
      <c r="H83" s="117"/>
      <c r="I83" s="38"/>
      <c r="J83" s="53"/>
    </row>
    <row r="84" spans="1:10" ht="27" customHeight="1" thickBot="1" x14ac:dyDescent="0.3">
      <c r="A84" s="137" t="s">
        <v>49</v>
      </c>
      <c r="B84" s="138"/>
      <c r="C84" s="138"/>
      <c r="D84" s="138"/>
      <c r="E84" s="138"/>
      <c r="F84" s="138"/>
      <c r="G84" s="138"/>
      <c r="H84" s="138"/>
      <c r="I84" s="52"/>
      <c r="J84" s="53"/>
    </row>
    <row r="85" spans="1:10" ht="27" customHeight="1" thickBot="1" x14ac:dyDescent="0.3">
      <c r="A85" s="108"/>
      <c r="B85" s="109"/>
      <c r="C85" s="109"/>
      <c r="D85" s="109"/>
      <c r="E85" s="109"/>
      <c r="F85" s="109"/>
      <c r="G85" s="109"/>
      <c r="H85" s="109"/>
      <c r="I85" s="18">
        <f>I87*273/(273+J2)</f>
        <v>0.82969630789381121</v>
      </c>
      <c r="J85" s="53"/>
    </row>
    <row r="86" spans="1:10" ht="27" customHeight="1" thickBot="1" x14ac:dyDescent="0.3">
      <c r="A86" s="108"/>
      <c r="B86" s="109"/>
      <c r="C86" s="109"/>
      <c r="D86" s="109"/>
      <c r="E86" s="109"/>
      <c r="F86" s="109"/>
      <c r="G86" s="109"/>
      <c r="H86" s="109"/>
      <c r="I86" s="52"/>
      <c r="J86" s="53"/>
    </row>
    <row r="87" spans="1:10" ht="27" customHeight="1" thickBot="1" x14ac:dyDescent="0.3">
      <c r="A87" s="141" t="s">
        <v>50</v>
      </c>
      <c r="B87" s="142"/>
      <c r="C87" s="142"/>
      <c r="D87" s="142"/>
      <c r="E87" s="142"/>
      <c r="F87" s="142"/>
      <c r="G87" s="142"/>
      <c r="H87" s="142"/>
      <c r="I87" s="8">
        <v>1.26</v>
      </c>
      <c r="J87" s="53"/>
    </row>
    <row r="88" spans="1:10" ht="27" customHeight="1" x14ac:dyDescent="0.25">
      <c r="A88" s="108"/>
      <c r="B88" s="109"/>
      <c r="C88" s="109"/>
      <c r="D88" s="109"/>
      <c r="E88" s="109"/>
      <c r="F88" s="109"/>
      <c r="G88" s="109"/>
      <c r="H88" s="109"/>
      <c r="I88" s="52"/>
      <c r="J88" s="53"/>
    </row>
    <row r="89" spans="1:10" ht="27" customHeight="1" x14ac:dyDescent="0.25">
      <c r="A89" s="108"/>
      <c r="B89" s="109"/>
      <c r="C89" s="109"/>
      <c r="D89" s="109"/>
      <c r="E89" s="109"/>
      <c r="F89" s="109"/>
      <c r="G89" s="109"/>
      <c r="H89" s="109"/>
      <c r="I89" s="52"/>
      <c r="J89" s="53"/>
    </row>
    <row r="90" spans="1:10" ht="27" customHeight="1" x14ac:dyDescent="0.25">
      <c r="A90" s="108"/>
      <c r="B90" s="109"/>
      <c r="C90" s="109"/>
      <c r="D90" s="109"/>
      <c r="E90" s="109"/>
      <c r="F90" s="109"/>
      <c r="G90" s="109"/>
      <c r="H90" s="109"/>
      <c r="I90" s="52"/>
      <c r="J90" s="53"/>
    </row>
    <row r="91" spans="1:10" ht="27" customHeight="1" x14ac:dyDescent="0.25">
      <c r="A91" s="108"/>
      <c r="B91" s="109"/>
      <c r="C91" s="109"/>
      <c r="D91" s="109"/>
      <c r="E91" s="109"/>
      <c r="F91" s="109"/>
      <c r="G91" s="109"/>
      <c r="H91" s="109"/>
      <c r="I91" s="52"/>
      <c r="J91" s="53"/>
    </row>
    <row r="92" spans="1:10" ht="27" customHeight="1" x14ac:dyDescent="0.25">
      <c r="A92" s="55"/>
      <c r="B92" s="52"/>
      <c r="C92" s="52"/>
      <c r="D92" s="52"/>
      <c r="E92" s="52"/>
      <c r="F92" s="52"/>
      <c r="G92" s="52"/>
      <c r="H92" s="52"/>
      <c r="I92" s="52"/>
      <c r="J92" s="53"/>
    </row>
    <row r="93" spans="1:10" ht="27" customHeight="1" x14ac:dyDescent="0.25">
      <c r="A93" s="55"/>
      <c r="B93" s="52"/>
      <c r="C93" s="52"/>
      <c r="D93" s="52"/>
      <c r="E93" s="52"/>
      <c r="F93" s="52"/>
      <c r="G93" s="52"/>
      <c r="H93" s="52"/>
      <c r="I93" s="52"/>
      <c r="J93" s="53"/>
    </row>
    <row r="94" spans="1:10" ht="27" customHeight="1" x14ac:dyDescent="0.25">
      <c r="A94" s="55"/>
      <c r="B94" s="52"/>
      <c r="C94" s="52"/>
      <c r="D94" s="52"/>
      <c r="E94" s="52"/>
      <c r="F94" s="52"/>
      <c r="G94" s="52"/>
      <c r="H94" s="52"/>
      <c r="I94" s="52"/>
      <c r="J94" s="53"/>
    </row>
    <row r="95" spans="1:10" x14ac:dyDescent="0.25">
      <c r="A95" s="55"/>
      <c r="B95" s="52"/>
      <c r="C95" s="52"/>
      <c r="D95" s="52"/>
      <c r="E95" s="52"/>
      <c r="F95" s="52"/>
      <c r="G95" s="52"/>
      <c r="H95" s="52"/>
      <c r="I95" s="52"/>
      <c r="J95" s="53"/>
    </row>
    <row r="96" spans="1:10" x14ac:dyDescent="0.25">
      <c r="A96" s="55"/>
      <c r="B96" s="52"/>
      <c r="C96" s="52"/>
      <c r="D96" s="52"/>
      <c r="E96" s="52"/>
      <c r="F96" s="52"/>
      <c r="G96" s="52"/>
      <c r="H96" s="52"/>
      <c r="I96" s="52"/>
      <c r="J96" s="53"/>
    </row>
    <row r="97" spans="1:10" x14ac:dyDescent="0.25">
      <c r="A97" s="55"/>
      <c r="B97" s="52"/>
      <c r="C97" s="52"/>
      <c r="D97" s="52"/>
      <c r="E97" s="52"/>
      <c r="F97" s="52"/>
      <c r="G97" s="52"/>
      <c r="H97" s="52"/>
      <c r="I97" s="52"/>
      <c r="J97" s="53"/>
    </row>
    <row r="98" spans="1:10" x14ac:dyDescent="0.25">
      <c r="A98" s="55"/>
      <c r="B98" s="52"/>
      <c r="C98" s="52"/>
      <c r="D98" s="52"/>
      <c r="E98" s="52"/>
      <c r="F98" s="52"/>
      <c r="G98" s="52"/>
      <c r="H98" s="52"/>
      <c r="I98" s="52"/>
      <c r="J98" s="53"/>
    </row>
    <row r="99" spans="1:10" ht="96.75" customHeight="1" thickBot="1" x14ac:dyDescent="0.3">
      <c r="A99" s="79"/>
      <c r="B99" s="80"/>
      <c r="C99" s="80"/>
      <c r="D99" s="80"/>
      <c r="E99" s="80"/>
      <c r="F99" s="80"/>
      <c r="G99" s="80"/>
      <c r="H99" s="80"/>
      <c r="I99" s="80"/>
      <c r="J99" s="81"/>
    </row>
    <row r="101" spans="1:10" x14ac:dyDescent="0.25">
      <c r="J101">
        <f>1/(273+I82)</f>
        <v>3.4129692832764505E-3</v>
      </c>
    </row>
    <row r="102" spans="1:10" x14ac:dyDescent="0.25">
      <c r="E102" s="12" t="s">
        <v>27</v>
      </c>
      <c r="F102" s="46">
        <f>2.15*B109/((J101-J102)*760)</f>
        <v>0.16662208181610802</v>
      </c>
      <c r="J102">
        <f>1/(273+J2)</f>
        <v>2.4120481071394011E-3</v>
      </c>
    </row>
    <row r="106" spans="1:10" x14ac:dyDescent="0.25">
      <c r="A106" s="45" t="s">
        <v>70</v>
      </c>
      <c r="B106" s="44" t="s">
        <v>71</v>
      </c>
      <c r="C106" s="44"/>
      <c r="D106" s="44"/>
      <c r="E106" s="44"/>
      <c r="F106" s="44"/>
      <c r="G106" s="44"/>
      <c r="H106" s="44"/>
    </row>
    <row r="107" spans="1:10" x14ac:dyDescent="0.25">
      <c r="A107" s="12" t="s">
        <v>74</v>
      </c>
      <c r="B107" t="s">
        <v>72</v>
      </c>
    </row>
    <row r="108" spans="1:10" x14ac:dyDescent="0.25">
      <c r="A108" s="12" t="s">
        <v>73</v>
      </c>
      <c r="B108" t="s">
        <v>75</v>
      </c>
    </row>
    <row r="109" spans="1:10" x14ac:dyDescent="0.25">
      <c r="A109" s="12" t="s">
        <v>76</v>
      </c>
      <c r="B109" s="46">
        <f>F50/9.81</f>
        <v>5.8953224780164994E-2</v>
      </c>
      <c r="C109" t="s">
        <v>77</v>
      </c>
    </row>
  </sheetData>
  <mergeCells count="64">
    <mergeCell ref="N60:U60"/>
    <mergeCell ref="O51:U51"/>
    <mergeCell ref="O52:U52"/>
    <mergeCell ref="O53:U53"/>
    <mergeCell ref="O54:V54"/>
    <mergeCell ref="O55:T55"/>
    <mergeCell ref="A90:H90"/>
    <mergeCell ref="A91:H91"/>
    <mergeCell ref="A33:D33"/>
    <mergeCell ref="A28:D28"/>
    <mergeCell ref="A36:D36"/>
    <mergeCell ref="A38:D38"/>
    <mergeCell ref="A86:H86"/>
    <mergeCell ref="A87:H87"/>
    <mergeCell ref="A88:H88"/>
    <mergeCell ref="A89:H89"/>
    <mergeCell ref="A81:H81"/>
    <mergeCell ref="A82:H82"/>
    <mergeCell ref="A83:H83"/>
    <mergeCell ref="A84:H84"/>
    <mergeCell ref="B75:H75"/>
    <mergeCell ref="A85:H85"/>
    <mergeCell ref="B76:H76"/>
    <mergeCell ref="A77:H77"/>
    <mergeCell ref="A78:H78"/>
    <mergeCell ref="A79:H79"/>
    <mergeCell ref="A80:H80"/>
    <mergeCell ref="A65:H65"/>
    <mergeCell ref="A69:H69"/>
    <mergeCell ref="B72:H72"/>
    <mergeCell ref="B73:H73"/>
    <mergeCell ref="B74:H74"/>
    <mergeCell ref="A1:J1"/>
    <mergeCell ref="A17:H17"/>
    <mergeCell ref="A51:E51"/>
    <mergeCell ref="A53:E53"/>
    <mergeCell ref="B56:I56"/>
    <mergeCell ref="A3:H3"/>
    <mergeCell ref="A2:H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N13:W14"/>
    <mergeCell ref="Q20:W21"/>
    <mergeCell ref="J19:J20"/>
    <mergeCell ref="A64:E64"/>
    <mergeCell ref="K63:L63"/>
    <mergeCell ref="G50:H50"/>
    <mergeCell ref="A13:H13"/>
    <mergeCell ref="A14:H14"/>
    <mergeCell ref="A16:H16"/>
    <mergeCell ref="B19:H19"/>
    <mergeCell ref="A19:A20"/>
    <mergeCell ref="B59:H59"/>
    <mergeCell ref="B60:H60"/>
    <mergeCell ref="B61:H61"/>
    <mergeCell ref="O48:W49"/>
    <mergeCell ref="O50:S50"/>
  </mergeCells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30" r:id="rId4">
          <objectPr defaultSize="0" autoPict="0" r:id="rId5">
            <anchor moveWithCells="1" sizeWithCells="1">
              <from>
                <xdr:col>8</xdr:col>
                <xdr:colOff>47625</xdr:colOff>
                <xdr:row>19</xdr:row>
                <xdr:rowOff>76200</xdr:rowOff>
              </from>
              <to>
                <xdr:col>8</xdr:col>
                <xdr:colOff>942975</xdr:colOff>
                <xdr:row>19</xdr:row>
                <xdr:rowOff>390525</xdr:rowOff>
              </to>
            </anchor>
          </objectPr>
        </oleObject>
      </mc:Choice>
      <mc:Fallback>
        <oleObject progId="Equation.3" shapeId="1030" r:id="rId4"/>
      </mc:Fallback>
    </mc:AlternateContent>
    <mc:AlternateContent xmlns:mc="http://schemas.openxmlformats.org/markup-compatibility/2006">
      <mc:Choice Requires="x14">
        <oleObject progId="Equation.3" shapeId="1031" r:id="rId6">
          <objectPr defaultSize="0" autoPict="0" r:id="rId7">
            <anchor moveWithCells="1" sizeWithCells="1">
              <from>
                <xdr:col>0</xdr:col>
                <xdr:colOff>66675</xdr:colOff>
                <xdr:row>43</xdr:row>
                <xdr:rowOff>0</xdr:rowOff>
              </from>
              <to>
                <xdr:col>0</xdr:col>
                <xdr:colOff>723900</xdr:colOff>
                <xdr:row>44</xdr:row>
                <xdr:rowOff>28575</xdr:rowOff>
              </to>
            </anchor>
          </objectPr>
        </oleObject>
      </mc:Choice>
      <mc:Fallback>
        <oleObject progId="Equation.3" shapeId="1031" r:id="rId6"/>
      </mc:Fallback>
    </mc:AlternateContent>
    <mc:AlternateContent xmlns:mc="http://schemas.openxmlformats.org/markup-compatibility/2006">
      <mc:Choice Requires="x14">
        <oleObject progId="Equation.3" shapeId="1032" r:id="rId8">
          <objectPr defaultSize="0" autoPict="0" r:id="rId9">
            <anchor moveWithCells="1" sizeWithCells="1">
              <from>
                <xdr:col>0</xdr:col>
                <xdr:colOff>66675</xdr:colOff>
                <xdr:row>34</xdr:row>
                <xdr:rowOff>114300</xdr:rowOff>
              </from>
              <to>
                <xdr:col>0</xdr:col>
                <xdr:colOff>419100</xdr:colOff>
                <xdr:row>34</xdr:row>
                <xdr:rowOff>333375</xdr:rowOff>
              </to>
            </anchor>
          </objectPr>
        </oleObject>
      </mc:Choice>
      <mc:Fallback>
        <oleObject progId="Equation.3" shapeId="1032" r:id="rId8"/>
      </mc:Fallback>
    </mc:AlternateContent>
    <mc:AlternateContent xmlns:mc="http://schemas.openxmlformats.org/markup-compatibility/2006">
      <mc:Choice Requires="x14">
        <oleObject progId="Equation.3" shapeId="1037" r:id="rId10">
          <objectPr defaultSize="0" autoPict="0" r:id="rId11">
            <anchor moveWithCells="1" sizeWithCells="1">
              <from>
                <xdr:col>2</xdr:col>
                <xdr:colOff>476250</xdr:colOff>
                <xdr:row>5</xdr:row>
                <xdr:rowOff>190500</xdr:rowOff>
              </from>
              <to>
                <xdr:col>4</xdr:col>
                <xdr:colOff>200025</xdr:colOff>
                <xdr:row>5</xdr:row>
                <xdr:rowOff>809625</xdr:rowOff>
              </to>
            </anchor>
          </objectPr>
        </oleObject>
      </mc:Choice>
      <mc:Fallback>
        <oleObject progId="Equation.3" shapeId="1037" r:id="rId10"/>
      </mc:Fallback>
    </mc:AlternateContent>
    <mc:AlternateContent xmlns:mc="http://schemas.openxmlformats.org/markup-compatibility/2006">
      <mc:Choice Requires="x14">
        <oleObject progId="Equation.3" shapeId="1038" r:id="rId12">
          <objectPr defaultSize="0" autoPict="0" r:id="rId13">
            <anchor moveWithCells="1" sizeWithCells="1">
              <from>
                <xdr:col>4</xdr:col>
                <xdr:colOff>352425</xdr:colOff>
                <xdr:row>5</xdr:row>
                <xdr:rowOff>276225</xdr:rowOff>
              </from>
              <to>
                <xdr:col>5</xdr:col>
                <xdr:colOff>0</xdr:colOff>
                <xdr:row>5</xdr:row>
                <xdr:rowOff>476250</xdr:rowOff>
              </to>
            </anchor>
          </objectPr>
        </oleObject>
      </mc:Choice>
      <mc:Fallback>
        <oleObject progId="Equation.3" shapeId="1038" r:id="rId12"/>
      </mc:Fallback>
    </mc:AlternateContent>
    <mc:AlternateContent xmlns:mc="http://schemas.openxmlformats.org/markup-compatibility/2006">
      <mc:Choice Requires="x14">
        <oleObject progId="Equation.3" shapeId="1039" r:id="rId14">
          <objectPr defaultSize="0" autoPict="0" r:id="rId15">
            <anchor moveWithCells="1" sizeWithCells="1">
              <from>
                <xdr:col>3</xdr:col>
                <xdr:colOff>0</xdr:colOff>
                <xdr:row>9</xdr:row>
                <xdr:rowOff>28575</xdr:rowOff>
              </from>
              <to>
                <xdr:col>4</xdr:col>
                <xdr:colOff>457200</xdr:colOff>
                <xdr:row>9</xdr:row>
                <xdr:rowOff>266700</xdr:rowOff>
              </to>
            </anchor>
          </objectPr>
        </oleObject>
      </mc:Choice>
      <mc:Fallback>
        <oleObject progId="Equation.3" shapeId="1039" r:id="rId14"/>
      </mc:Fallback>
    </mc:AlternateContent>
    <mc:AlternateContent xmlns:mc="http://schemas.openxmlformats.org/markup-compatibility/2006">
      <mc:Choice Requires="x14">
        <oleObject progId="Equation.3" shapeId="1040" r:id="rId16">
          <objectPr defaultSize="0" autoPict="0" r:id="rId13">
            <anchor moveWithCells="1" sizeWithCells="1">
              <from>
                <xdr:col>5</xdr:col>
                <xdr:colOff>0</xdr:colOff>
                <xdr:row>9</xdr:row>
                <xdr:rowOff>19050</xdr:rowOff>
              </from>
              <to>
                <xdr:col>5</xdr:col>
                <xdr:colOff>180975</xdr:colOff>
                <xdr:row>9</xdr:row>
                <xdr:rowOff>219075</xdr:rowOff>
              </to>
            </anchor>
          </objectPr>
        </oleObject>
      </mc:Choice>
      <mc:Fallback>
        <oleObject progId="Equation.3" shapeId="1040" r:id="rId16"/>
      </mc:Fallback>
    </mc:AlternateContent>
    <mc:AlternateContent xmlns:mc="http://schemas.openxmlformats.org/markup-compatibility/2006">
      <mc:Choice Requires="x14">
        <oleObject progId="Equation.3" shapeId="1041" r:id="rId17">
          <objectPr defaultSize="0" autoPict="0" r:id="rId18">
            <anchor moveWithCells="1" sizeWithCells="1">
              <from>
                <xdr:col>0</xdr:col>
                <xdr:colOff>95250</xdr:colOff>
                <xdr:row>10</xdr:row>
                <xdr:rowOff>38100</xdr:rowOff>
              </from>
              <to>
                <xdr:col>0</xdr:col>
                <xdr:colOff>476250</xdr:colOff>
                <xdr:row>10</xdr:row>
                <xdr:rowOff>276225</xdr:rowOff>
              </to>
            </anchor>
          </objectPr>
        </oleObject>
      </mc:Choice>
      <mc:Fallback>
        <oleObject progId="Equation.3" shapeId="1041" r:id="rId17"/>
      </mc:Fallback>
    </mc:AlternateContent>
    <mc:AlternateContent xmlns:mc="http://schemas.openxmlformats.org/markup-compatibility/2006">
      <mc:Choice Requires="x14">
        <oleObject progId="Equation.3" shapeId="1042" r:id="rId19">
          <objectPr defaultSize="0" autoPict="0" r:id="rId20">
            <anchor moveWithCells="1" sizeWithCells="1">
              <from>
                <xdr:col>2</xdr:col>
                <xdr:colOff>514350</xdr:colOff>
                <xdr:row>12</xdr:row>
                <xdr:rowOff>28575</xdr:rowOff>
              </from>
              <to>
                <xdr:col>5</xdr:col>
                <xdr:colOff>0</xdr:colOff>
                <xdr:row>12</xdr:row>
                <xdr:rowOff>266700</xdr:rowOff>
              </to>
            </anchor>
          </objectPr>
        </oleObject>
      </mc:Choice>
      <mc:Fallback>
        <oleObject progId="Equation.3" shapeId="1042" r:id="rId19"/>
      </mc:Fallback>
    </mc:AlternateContent>
    <mc:AlternateContent xmlns:mc="http://schemas.openxmlformats.org/markup-compatibility/2006">
      <mc:Choice Requires="x14">
        <oleObject progId="Equation.3" shapeId="1043" r:id="rId21">
          <objectPr defaultSize="0" autoPict="0" r:id="rId22">
            <anchor moveWithCells="1" sizeWithCells="1">
              <from>
                <xdr:col>2</xdr:col>
                <xdr:colOff>409575</xdr:colOff>
                <xdr:row>14</xdr:row>
                <xdr:rowOff>47625</xdr:rowOff>
              </from>
              <to>
                <xdr:col>5</xdr:col>
                <xdr:colOff>0</xdr:colOff>
                <xdr:row>14</xdr:row>
                <xdr:rowOff>514350</xdr:rowOff>
              </to>
            </anchor>
          </objectPr>
        </oleObject>
      </mc:Choice>
      <mc:Fallback>
        <oleObject progId="Equation.3" shapeId="1043" r:id="rId21"/>
      </mc:Fallback>
    </mc:AlternateContent>
    <mc:AlternateContent xmlns:mc="http://schemas.openxmlformats.org/markup-compatibility/2006">
      <mc:Choice Requires="x14">
        <oleObject progId="Equation.3" shapeId="1047" r:id="rId23">
          <objectPr defaultSize="0" autoPict="0" r:id="rId24">
            <anchor moveWithCells="1" sizeWithCells="1">
              <from>
                <xdr:col>8</xdr:col>
                <xdr:colOff>428625</xdr:colOff>
                <xdr:row>1</xdr:row>
                <xdr:rowOff>57150</xdr:rowOff>
              </from>
              <to>
                <xdr:col>8</xdr:col>
                <xdr:colOff>647700</xdr:colOff>
                <xdr:row>1</xdr:row>
                <xdr:rowOff>295275</xdr:rowOff>
              </to>
            </anchor>
          </objectPr>
        </oleObject>
      </mc:Choice>
      <mc:Fallback>
        <oleObject progId="Equation.3" shapeId="1047" r:id="rId23"/>
      </mc:Fallback>
    </mc:AlternateContent>
    <mc:AlternateContent xmlns:mc="http://schemas.openxmlformats.org/markup-compatibility/2006">
      <mc:Choice Requires="x14">
        <oleObject progId="Equation.3" shapeId="1048" r:id="rId25">
          <objectPr defaultSize="0" autoPict="0" r:id="rId26">
            <anchor moveWithCells="1" sizeWithCells="1">
              <from>
                <xdr:col>8</xdr:col>
                <xdr:colOff>447675</xdr:colOff>
                <xdr:row>2</xdr:row>
                <xdr:rowOff>66675</xdr:rowOff>
              </from>
              <to>
                <xdr:col>8</xdr:col>
                <xdr:colOff>619125</xdr:colOff>
                <xdr:row>2</xdr:row>
                <xdr:rowOff>276225</xdr:rowOff>
              </to>
            </anchor>
          </objectPr>
        </oleObject>
      </mc:Choice>
      <mc:Fallback>
        <oleObject progId="Equation.3" shapeId="1048" r:id="rId25"/>
      </mc:Fallback>
    </mc:AlternateContent>
    <mc:AlternateContent xmlns:mc="http://schemas.openxmlformats.org/markup-compatibility/2006">
      <mc:Choice Requires="x14">
        <oleObject progId="Equation.3" shapeId="1049" r:id="rId27">
          <objectPr defaultSize="0" autoPict="0" r:id="rId28">
            <anchor moveWithCells="1" sizeWithCells="1">
              <from>
                <xdr:col>8</xdr:col>
                <xdr:colOff>400050</xdr:colOff>
                <xdr:row>3</xdr:row>
                <xdr:rowOff>57150</xdr:rowOff>
              </from>
              <to>
                <xdr:col>8</xdr:col>
                <xdr:colOff>581025</xdr:colOff>
                <xdr:row>3</xdr:row>
                <xdr:rowOff>266700</xdr:rowOff>
              </to>
            </anchor>
          </objectPr>
        </oleObject>
      </mc:Choice>
      <mc:Fallback>
        <oleObject progId="Equation.3" shapeId="1049" r:id="rId27"/>
      </mc:Fallback>
    </mc:AlternateContent>
    <mc:AlternateContent xmlns:mc="http://schemas.openxmlformats.org/markup-compatibility/2006">
      <mc:Choice Requires="x14">
        <oleObject progId="Equation.3" shapeId="1055" r:id="rId29">
          <objectPr defaultSize="0" autoPict="0" r:id="rId30">
            <anchor moveWithCells="1" sizeWithCells="1">
              <from>
                <xdr:col>0</xdr:col>
                <xdr:colOff>276225</xdr:colOff>
                <xdr:row>55</xdr:row>
                <xdr:rowOff>257175</xdr:rowOff>
              </from>
              <to>
                <xdr:col>0</xdr:col>
                <xdr:colOff>409575</xdr:colOff>
                <xdr:row>55</xdr:row>
                <xdr:rowOff>457200</xdr:rowOff>
              </to>
            </anchor>
          </objectPr>
        </oleObject>
      </mc:Choice>
      <mc:Fallback>
        <oleObject progId="Equation.3" shapeId="1055" r:id="rId29"/>
      </mc:Fallback>
    </mc:AlternateContent>
    <mc:AlternateContent xmlns:mc="http://schemas.openxmlformats.org/markup-compatibility/2006">
      <mc:Choice Requires="x14">
        <oleObject progId="Equation.3" shapeId="1056" r:id="rId31">
          <objectPr defaultSize="0" autoPict="0" r:id="rId32">
            <anchor moveWithCells="1" sizeWithCells="1">
              <from>
                <xdr:col>0</xdr:col>
                <xdr:colOff>190500</xdr:colOff>
                <xdr:row>58</xdr:row>
                <xdr:rowOff>123825</xdr:rowOff>
              </from>
              <to>
                <xdr:col>0</xdr:col>
                <xdr:colOff>457200</xdr:colOff>
                <xdr:row>58</xdr:row>
                <xdr:rowOff>295275</xdr:rowOff>
              </to>
            </anchor>
          </objectPr>
        </oleObject>
      </mc:Choice>
      <mc:Fallback>
        <oleObject progId="Equation.3" shapeId="1056" r:id="rId31"/>
      </mc:Fallback>
    </mc:AlternateContent>
    <mc:AlternateContent xmlns:mc="http://schemas.openxmlformats.org/markup-compatibility/2006">
      <mc:Choice Requires="x14">
        <oleObject progId="Equation.3" shapeId="1058" r:id="rId33">
          <objectPr defaultSize="0" autoPict="0" r:id="rId34">
            <anchor moveWithCells="1" sizeWithCells="1">
              <from>
                <xdr:col>0</xdr:col>
                <xdr:colOff>152400</xdr:colOff>
                <xdr:row>59</xdr:row>
                <xdr:rowOff>104775</xdr:rowOff>
              </from>
              <to>
                <xdr:col>0</xdr:col>
                <xdr:colOff>419100</xdr:colOff>
                <xdr:row>59</xdr:row>
                <xdr:rowOff>266700</xdr:rowOff>
              </to>
            </anchor>
          </objectPr>
        </oleObject>
      </mc:Choice>
      <mc:Fallback>
        <oleObject progId="Equation.3" shapeId="1058" r:id="rId33"/>
      </mc:Fallback>
    </mc:AlternateContent>
    <mc:AlternateContent xmlns:mc="http://schemas.openxmlformats.org/markup-compatibility/2006">
      <mc:Choice Requires="x14">
        <oleObject progId="Equation.3" shapeId="1059" r:id="rId35">
          <objectPr defaultSize="0" autoPict="0" r:id="rId36">
            <anchor moveWithCells="1" sizeWithCells="1">
              <from>
                <xdr:col>0</xdr:col>
                <xdr:colOff>104775</xdr:colOff>
                <xdr:row>65</xdr:row>
                <xdr:rowOff>28575</xdr:rowOff>
              </from>
              <to>
                <xdr:col>2</xdr:col>
                <xdr:colOff>133350</xdr:colOff>
                <xdr:row>65</xdr:row>
                <xdr:rowOff>457200</xdr:rowOff>
              </to>
            </anchor>
          </objectPr>
        </oleObject>
      </mc:Choice>
      <mc:Fallback>
        <oleObject progId="Equation.3" shapeId="1059" r:id="rId35"/>
      </mc:Fallback>
    </mc:AlternateContent>
    <mc:AlternateContent xmlns:mc="http://schemas.openxmlformats.org/markup-compatibility/2006">
      <mc:Choice Requires="x14">
        <oleObject progId="Equation.3" shapeId="1062" r:id="rId37">
          <objectPr defaultSize="0" autoPict="0" r:id="rId38">
            <anchor moveWithCells="1" sizeWithCells="1">
              <from>
                <xdr:col>0</xdr:col>
                <xdr:colOff>161925</xdr:colOff>
                <xdr:row>71</xdr:row>
                <xdr:rowOff>104775</xdr:rowOff>
              </from>
              <to>
                <xdr:col>0</xdr:col>
                <xdr:colOff>409575</xdr:colOff>
                <xdr:row>71</xdr:row>
                <xdr:rowOff>266700</xdr:rowOff>
              </to>
            </anchor>
          </objectPr>
        </oleObject>
      </mc:Choice>
      <mc:Fallback>
        <oleObject progId="Equation.3" shapeId="1062" r:id="rId37"/>
      </mc:Fallback>
    </mc:AlternateContent>
    <mc:AlternateContent xmlns:mc="http://schemas.openxmlformats.org/markup-compatibility/2006">
      <mc:Choice Requires="x14">
        <oleObject progId="Equation.3" shapeId="1063" r:id="rId39">
          <objectPr defaultSize="0" autoPict="0" r:id="rId40">
            <anchor moveWithCells="1" sizeWithCells="1">
              <from>
                <xdr:col>0</xdr:col>
                <xdr:colOff>104775</xdr:colOff>
                <xdr:row>72</xdr:row>
                <xdr:rowOff>47625</xdr:rowOff>
              </from>
              <to>
                <xdr:col>0</xdr:col>
                <xdr:colOff>476250</xdr:colOff>
                <xdr:row>72</xdr:row>
                <xdr:rowOff>276225</xdr:rowOff>
              </to>
            </anchor>
          </objectPr>
        </oleObject>
      </mc:Choice>
      <mc:Fallback>
        <oleObject progId="Equation.3" shapeId="1063" r:id="rId39"/>
      </mc:Fallback>
    </mc:AlternateContent>
    <mc:AlternateContent xmlns:mc="http://schemas.openxmlformats.org/markup-compatibility/2006">
      <mc:Choice Requires="x14">
        <oleObject progId="Equation.3" shapeId="1064" r:id="rId41">
          <objectPr defaultSize="0" autoPict="0" r:id="rId42">
            <anchor moveWithCells="1" sizeWithCells="1">
              <from>
                <xdr:col>0</xdr:col>
                <xdr:colOff>95250</xdr:colOff>
                <xdr:row>73</xdr:row>
                <xdr:rowOff>19050</xdr:rowOff>
              </from>
              <to>
                <xdr:col>0</xdr:col>
                <xdr:colOff>438150</xdr:colOff>
                <xdr:row>73</xdr:row>
                <xdr:rowOff>257175</xdr:rowOff>
              </to>
            </anchor>
          </objectPr>
        </oleObject>
      </mc:Choice>
      <mc:Fallback>
        <oleObject progId="Equation.3" shapeId="1064" r:id="rId41"/>
      </mc:Fallback>
    </mc:AlternateContent>
    <mc:AlternateContent xmlns:mc="http://schemas.openxmlformats.org/markup-compatibility/2006">
      <mc:Choice Requires="x14">
        <oleObject progId="Equation.3" shapeId="1065" r:id="rId43">
          <objectPr defaultSize="0" autoPict="0" r:id="rId44">
            <anchor moveWithCells="1" sizeWithCells="1">
              <from>
                <xdr:col>0</xdr:col>
                <xdr:colOff>123825</xdr:colOff>
                <xdr:row>74</xdr:row>
                <xdr:rowOff>57150</xdr:rowOff>
              </from>
              <to>
                <xdr:col>0</xdr:col>
                <xdr:colOff>466725</xdr:colOff>
                <xdr:row>74</xdr:row>
                <xdr:rowOff>295275</xdr:rowOff>
              </to>
            </anchor>
          </objectPr>
        </oleObject>
      </mc:Choice>
      <mc:Fallback>
        <oleObject progId="Equation.3" shapeId="1065" r:id="rId43"/>
      </mc:Fallback>
    </mc:AlternateContent>
    <mc:AlternateContent xmlns:mc="http://schemas.openxmlformats.org/markup-compatibility/2006">
      <mc:Choice Requires="x14">
        <oleObject progId="Equation.3" shapeId="1066" r:id="rId45">
          <objectPr defaultSize="0" autoPict="0" r:id="rId46">
            <anchor moveWithCells="1" sizeWithCells="1">
              <from>
                <xdr:col>0</xdr:col>
                <xdr:colOff>142875</xdr:colOff>
                <xdr:row>75</xdr:row>
                <xdr:rowOff>114300</xdr:rowOff>
              </from>
              <to>
                <xdr:col>0</xdr:col>
                <xdr:colOff>409575</xdr:colOff>
                <xdr:row>75</xdr:row>
                <xdr:rowOff>257175</xdr:rowOff>
              </to>
            </anchor>
          </objectPr>
        </oleObject>
      </mc:Choice>
      <mc:Fallback>
        <oleObject progId="Equation.3" shapeId="1066" r:id="rId45"/>
      </mc:Fallback>
    </mc:AlternateContent>
    <mc:AlternateContent xmlns:mc="http://schemas.openxmlformats.org/markup-compatibility/2006">
      <mc:Choice Requires="x14">
        <oleObject progId="Equation.3" shapeId="1069" r:id="rId47">
          <objectPr defaultSize="0" autoPict="0" r:id="rId48">
            <anchor moveWithCells="1" sizeWithCells="1">
              <from>
                <xdr:col>0</xdr:col>
                <xdr:colOff>57150</xdr:colOff>
                <xdr:row>77</xdr:row>
                <xdr:rowOff>47625</xdr:rowOff>
              </from>
              <to>
                <xdr:col>2</xdr:col>
                <xdr:colOff>476250</xdr:colOff>
                <xdr:row>77</xdr:row>
                <xdr:rowOff>276225</xdr:rowOff>
              </to>
            </anchor>
          </objectPr>
        </oleObject>
      </mc:Choice>
      <mc:Fallback>
        <oleObject progId="Equation.3" shapeId="1069" r:id="rId47"/>
      </mc:Fallback>
    </mc:AlternateContent>
    <mc:AlternateContent xmlns:mc="http://schemas.openxmlformats.org/markup-compatibility/2006">
      <mc:Choice Requires="x14">
        <oleObject progId="Equation.3" shapeId="1070" r:id="rId49">
          <objectPr defaultSize="0" autoPict="0" r:id="rId50">
            <anchor moveWithCells="1" sizeWithCells="1">
              <from>
                <xdr:col>0</xdr:col>
                <xdr:colOff>133350</xdr:colOff>
                <xdr:row>78</xdr:row>
                <xdr:rowOff>85725</xdr:rowOff>
              </from>
              <to>
                <xdr:col>0</xdr:col>
                <xdr:colOff>476250</xdr:colOff>
                <xdr:row>78</xdr:row>
                <xdr:rowOff>304800</xdr:rowOff>
              </to>
            </anchor>
          </objectPr>
        </oleObject>
      </mc:Choice>
      <mc:Fallback>
        <oleObject progId="Equation.3" shapeId="1070" r:id="rId49"/>
      </mc:Fallback>
    </mc:AlternateContent>
    <mc:AlternateContent xmlns:mc="http://schemas.openxmlformats.org/markup-compatibility/2006">
      <mc:Choice Requires="x14">
        <oleObject progId="Equation.3" shapeId="1071" r:id="rId51">
          <objectPr defaultSize="0" autoPict="0" r:id="rId52">
            <anchor moveWithCells="1" sizeWithCells="1">
              <from>
                <xdr:col>0</xdr:col>
                <xdr:colOff>66675</xdr:colOff>
                <xdr:row>79</xdr:row>
                <xdr:rowOff>38100</xdr:rowOff>
              </from>
              <to>
                <xdr:col>2</xdr:col>
                <xdr:colOff>504825</xdr:colOff>
                <xdr:row>80</xdr:row>
                <xdr:rowOff>114300</xdr:rowOff>
              </to>
            </anchor>
          </objectPr>
        </oleObject>
      </mc:Choice>
      <mc:Fallback>
        <oleObject progId="Equation.3" shapeId="1071" r:id="rId51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4">
            <anchor moveWithCells="1" sizeWithCells="1">
              <from>
                <xdr:col>0</xdr:col>
                <xdr:colOff>47625</xdr:colOff>
                <xdr:row>81</xdr:row>
                <xdr:rowOff>76200</xdr:rowOff>
              </from>
              <to>
                <xdr:col>0</xdr:col>
                <xdr:colOff>419100</xdr:colOff>
                <xdr:row>81</xdr:row>
                <xdr:rowOff>295275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6">
            <anchor moveWithCells="1" sizeWithCells="1">
              <from>
                <xdr:col>0</xdr:col>
                <xdr:colOff>9525</xdr:colOff>
                <xdr:row>82</xdr:row>
                <xdr:rowOff>85725</xdr:rowOff>
              </from>
              <to>
                <xdr:col>1</xdr:col>
                <xdr:colOff>438150</xdr:colOff>
                <xdr:row>82</xdr:row>
                <xdr:rowOff>333375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7">
          <objectPr defaultSize="0" autoPict="0" r:id="rId58">
            <anchor moveWithCells="1" sizeWithCells="1">
              <from>
                <xdr:col>0</xdr:col>
                <xdr:colOff>0</xdr:colOff>
                <xdr:row>84</xdr:row>
                <xdr:rowOff>9525</xdr:rowOff>
              </from>
              <to>
                <xdr:col>2</xdr:col>
                <xdr:colOff>466725</xdr:colOff>
                <xdr:row>85</xdr:row>
                <xdr:rowOff>85725</xdr:rowOff>
              </to>
            </anchor>
          </objectPr>
        </oleObject>
      </mc:Choice>
      <mc:Fallback>
        <oleObject progId="Equation.3" shapeId="1075" r:id="rId57"/>
      </mc:Fallback>
    </mc:AlternateContent>
    <mc:AlternateContent xmlns:mc="http://schemas.openxmlformats.org/markup-compatibility/2006">
      <mc:Choice Requires="x14">
        <oleObject progId="Equation.3" shapeId="1076" r:id="rId59">
          <objectPr defaultSize="0" autoPict="0" r:id="rId60">
            <anchor moveWithCells="1" sizeWithCells="1">
              <from>
                <xdr:col>0</xdr:col>
                <xdr:colOff>28575</xdr:colOff>
                <xdr:row>86</xdr:row>
                <xdr:rowOff>57150</xdr:rowOff>
              </from>
              <to>
                <xdr:col>0</xdr:col>
                <xdr:colOff>409575</xdr:colOff>
                <xdr:row>86</xdr:row>
                <xdr:rowOff>304800</xdr:rowOff>
              </to>
            </anchor>
          </objectPr>
        </oleObject>
      </mc:Choice>
      <mc:Fallback>
        <oleObject progId="Equation.3" shapeId="1076" r:id="rId59"/>
      </mc:Fallback>
    </mc:AlternateContent>
    <mc:AlternateContent xmlns:mc="http://schemas.openxmlformats.org/markup-compatibility/2006">
      <mc:Choice Requires="x14">
        <oleObject progId="Equation.3" shapeId="1077" r:id="rId61">
          <objectPr defaultSize="0" autoPict="0" r:id="rId62">
            <anchor moveWithCells="1" sizeWithCells="1">
              <from>
                <xdr:col>0</xdr:col>
                <xdr:colOff>647700</xdr:colOff>
                <xdr:row>51</xdr:row>
                <xdr:rowOff>57150</xdr:rowOff>
              </from>
              <to>
                <xdr:col>4</xdr:col>
                <xdr:colOff>0</xdr:colOff>
                <xdr:row>51</xdr:row>
                <xdr:rowOff>466725</xdr:rowOff>
              </to>
            </anchor>
          </objectPr>
        </oleObject>
      </mc:Choice>
      <mc:Fallback>
        <oleObject progId="Equation.3" shapeId="1077" r:id="rId61"/>
      </mc:Fallback>
    </mc:AlternateContent>
    <mc:AlternateContent xmlns:mc="http://schemas.openxmlformats.org/markup-compatibility/2006">
      <mc:Choice Requires="x14">
        <oleObject progId="Equation.3" shapeId="1078" r:id="rId63">
          <objectPr defaultSize="0" autoPict="0" r:id="rId64">
            <anchor moveWithCells="1" sizeWithCells="1">
              <from>
                <xdr:col>1</xdr:col>
                <xdr:colOff>0</xdr:colOff>
                <xdr:row>54</xdr:row>
                <xdr:rowOff>0</xdr:rowOff>
              </from>
              <to>
                <xdr:col>3</xdr:col>
                <xdr:colOff>371475</xdr:colOff>
                <xdr:row>55</xdr:row>
                <xdr:rowOff>9525</xdr:rowOff>
              </to>
            </anchor>
          </objectPr>
        </oleObject>
      </mc:Choice>
      <mc:Fallback>
        <oleObject progId="Equation.3" shapeId="1078" r:id="rId63"/>
      </mc:Fallback>
    </mc:AlternateContent>
    <mc:AlternateContent xmlns:mc="http://schemas.openxmlformats.org/markup-compatibility/2006">
      <mc:Choice Requires="x14">
        <oleObject progId="Equation.3" shapeId="1079" r:id="rId65">
          <objectPr defaultSize="0" autoPict="0" r:id="rId66">
            <anchor moveWithCells="1" sizeWithCells="1">
              <from>
                <xdr:col>0</xdr:col>
                <xdr:colOff>676275</xdr:colOff>
                <xdr:row>49</xdr:row>
                <xdr:rowOff>66675</xdr:rowOff>
              </from>
              <to>
                <xdr:col>3</xdr:col>
                <xdr:colOff>447675</xdr:colOff>
                <xdr:row>49</xdr:row>
                <xdr:rowOff>314325</xdr:rowOff>
              </to>
            </anchor>
          </objectPr>
        </oleObject>
      </mc:Choice>
      <mc:Fallback>
        <oleObject progId="Equation.3" shapeId="1079" r:id="rId65"/>
      </mc:Fallback>
    </mc:AlternateContent>
    <mc:AlternateContent xmlns:mc="http://schemas.openxmlformats.org/markup-compatibility/2006">
      <mc:Choice Requires="x14">
        <oleObject progId="Equation.3" shapeId="1094" r:id="rId67">
          <objectPr defaultSize="0" autoPict="0" r:id="rId68">
            <anchor moveWithCells="1" sizeWithCells="1">
              <from>
                <xdr:col>0</xdr:col>
                <xdr:colOff>0</xdr:colOff>
                <xdr:row>28</xdr:row>
                <xdr:rowOff>142875</xdr:rowOff>
              </from>
              <to>
                <xdr:col>3</xdr:col>
                <xdr:colOff>361950</xdr:colOff>
                <xdr:row>30</xdr:row>
                <xdr:rowOff>0</xdr:rowOff>
              </to>
            </anchor>
          </objectPr>
        </oleObject>
      </mc:Choice>
      <mc:Fallback>
        <oleObject progId="Equation.3" shapeId="1094" r:id="rId67"/>
      </mc:Fallback>
    </mc:AlternateContent>
    <mc:AlternateContent xmlns:mc="http://schemas.openxmlformats.org/markup-compatibility/2006">
      <mc:Choice Requires="x14">
        <oleObject progId="Equation.3" shapeId="1096" r:id="rId69">
          <objectPr defaultSize="0" autoPict="0" r:id="rId70">
            <anchor moveWithCells="1" sizeWithCells="1">
              <from>
                <xdr:col>0</xdr:col>
                <xdr:colOff>0</xdr:colOff>
                <xdr:row>30</xdr:row>
                <xdr:rowOff>0</xdr:rowOff>
              </from>
              <to>
                <xdr:col>4</xdr:col>
                <xdr:colOff>19050</xdr:colOff>
                <xdr:row>31</xdr:row>
                <xdr:rowOff>57150</xdr:rowOff>
              </to>
            </anchor>
          </objectPr>
        </oleObject>
      </mc:Choice>
      <mc:Fallback>
        <oleObject progId="Equation.3" shapeId="1096" r:id="rId69"/>
      </mc:Fallback>
    </mc:AlternateContent>
    <mc:AlternateContent xmlns:mc="http://schemas.openxmlformats.org/markup-compatibility/2006">
      <mc:Choice Requires="x14">
        <oleObject progId="Equation.3" shapeId="1099" r:id="rId71">
          <objectPr defaultSize="0" autoPict="0" r:id="rId72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5</xdr:col>
                <xdr:colOff>142875</xdr:colOff>
                <xdr:row>32</xdr:row>
                <xdr:rowOff>57150</xdr:rowOff>
              </to>
            </anchor>
          </objectPr>
        </oleObject>
      </mc:Choice>
      <mc:Fallback>
        <oleObject progId="Equation.3" shapeId="1099" r:id="rId71"/>
      </mc:Fallback>
    </mc:AlternateContent>
    <mc:AlternateContent xmlns:mc="http://schemas.openxmlformats.org/markup-compatibility/2006">
      <mc:Choice Requires="x14">
        <oleObject progId="Equation.3" shapeId="1101" r:id="rId73">
          <objectPr defaultSize="0" autoPict="0" r:id="rId74">
            <anchor moveWithCells="1" sizeWithCells="1">
              <from>
                <xdr:col>0</xdr:col>
                <xdr:colOff>0</xdr:colOff>
                <xdr:row>32</xdr:row>
                <xdr:rowOff>352425</xdr:rowOff>
              </from>
              <to>
                <xdr:col>2</xdr:col>
                <xdr:colOff>428625</xdr:colOff>
                <xdr:row>34</xdr:row>
                <xdr:rowOff>47625</xdr:rowOff>
              </to>
            </anchor>
          </objectPr>
        </oleObject>
      </mc:Choice>
      <mc:Fallback>
        <oleObject progId="Equation.3" shapeId="1101" r:id="rId73"/>
      </mc:Fallback>
    </mc:AlternateContent>
    <mc:AlternateContent xmlns:mc="http://schemas.openxmlformats.org/markup-compatibility/2006">
      <mc:Choice Requires="x14">
        <oleObject progId="Equation.3" shapeId="1103" r:id="rId75">
          <objectPr defaultSize="0" autoPict="0" r:id="rId76">
            <anchor moveWithCells="1" sizeWithCells="1">
              <from>
                <xdr:col>0</xdr:col>
                <xdr:colOff>0</xdr:colOff>
                <xdr:row>25</xdr:row>
                <xdr:rowOff>95250</xdr:rowOff>
              </from>
              <to>
                <xdr:col>7</xdr:col>
                <xdr:colOff>57150</xdr:colOff>
                <xdr:row>26</xdr:row>
                <xdr:rowOff>0</xdr:rowOff>
              </to>
            </anchor>
          </objectPr>
        </oleObject>
      </mc:Choice>
      <mc:Fallback>
        <oleObject progId="Equation.3" shapeId="1103" r:id="rId75"/>
      </mc:Fallback>
    </mc:AlternateContent>
    <mc:AlternateContent xmlns:mc="http://schemas.openxmlformats.org/markup-compatibility/2006">
      <mc:Choice Requires="x14">
        <oleObject progId="Equation.3" shapeId="1104" r:id="rId77">
          <objectPr defaultSize="0" autoPict="0" r:id="rId78">
            <anchor moveWithCells="1" sizeWithCells="1">
              <from>
                <xdr:col>0</xdr:col>
                <xdr:colOff>0</xdr:colOff>
                <xdr:row>36</xdr:row>
                <xdr:rowOff>0</xdr:rowOff>
              </from>
              <to>
                <xdr:col>3</xdr:col>
                <xdr:colOff>371475</xdr:colOff>
                <xdr:row>37</xdr:row>
                <xdr:rowOff>57150</xdr:rowOff>
              </to>
            </anchor>
          </objectPr>
        </oleObject>
      </mc:Choice>
      <mc:Fallback>
        <oleObject progId="Equation.3" shapeId="1104" r:id="rId77"/>
      </mc:Fallback>
    </mc:AlternateContent>
    <mc:AlternateContent xmlns:mc="http://schemas.openxmlformats.org/markup-compatibility/2006">
      <mc:Choice Requires="x14">
        <oleObject progId="Equation.3" shapeId="1106" r:id="rId79">
          <objectPr defaultSize="0" autoPict="0" r:id="rId80">
            <anchor moveWithCells="1" sizeWithCells="1">
              <from>
                <xdr:col>0</xdr:col>
                <xdr:colOff>0</xdr:colOff>
                <xdr:row>37</xdr:row>
                <xdr:rowOff>333375</xdr:rowOff>
              </from>
              <to>
                <xdr:col>4</xdr:col>
                <xdr:colOff>0</xdr:colOff>
                <xdr:row>39</xdr:row>
                <xdr:rowOff>28575</xdr:rowOff>
              </to>
            </anchor>
          </objectPr>
        </oleObject>
      </mc:Choice>
      <mc:Fallback>
        <oleObject progId="Equation.3" shapeId="1106" r:id="rId79"/>
      </mc:Fallback>
    </mc:AlternateContent>
    <mc:AlternateContent xmlns:mc="http://schemas.openxmlformats.org/markup-compatibility/2006">
      <mc:Choice Requires="x14">
        <oleObject progId="Equation.3" shapeId="1108" r:id="rId81">
          <objectPr defaultSize="0" autoPict="0" r:id="rId82">
            <anchor moveWithCells="1" sizeWithCells="1">
              <from>
                <xdr:col>0</xdr:col>
                <xdr:colOff>0</xdr:colOff>
                <xdr:row>69</xdr:row>
                <xdr:rowOff>0</xdr:rowOff>
              </from>
              <to>
                <xdr:col>2</xdr:col>
                <xdr:colOff>514350</xdr:colOff>
                <xdr:row>70</xdr:row>
                <xdr:rowOff>76200</xdr:rowOff>
              </to>
            </anchor>
          </objectPr>
        </oleObject>
      </mc:Choice>
      <mc:Fallback>
        <oleObject progId="Equation.3" shapeId="1108" r:id="rId81"/>
      </mc:Fallback>
    </mc:AlternateContent>
    <mc:AlternateContent xmlns:mc="http://schemas.openxmlformats.org/markup-compatibility/2006">
      <mc:Choice Requires="x14">
        <oleObject progId="Equation.3" shapeId="1110" r:id="rId83">
          <objectPr defaultSize="0" autoPict="0" r:id="rId84">
            <anchor moveWithCells="1" sizeWithCells="1">
              <from>
                <xdr:col>0</xdr:col>
                <xdr:colOff>295275</xdr:colOff>
                <xdr:row>67</xdr:row>
                <xdr:rowOff>47625</xdr:rowOff>
              </from>
              <to>
                <xdr:col>1</xdr:col>
                <xdr:colOff>438150</xdr:colOff>
                <xdr:row>67</xdr:row>
                <xdr:rowOff>352425</xdr:rowOff>
              </to>
            </anchor>
          </objectPr>
        </oleObject>
      </mc:Choice>
      <mc:Fallback>
        <oleObject progId="Equation.3" shapeId="1110" r:id="rId83"/>
      </mc:Fallback>
    </mc:AlternateContent>
    <mc:AlternateContent xmlns:mc="http://schemas.openxmlformats.org/markup-compatibility/2006">
      <mc:Choice Requires="x14">
        <oleObject progId="Equation.3" shapeId="1112" r:id="rId85">
          <objectPr defaultSize="0" autoPict="0" r:id="rId86">
            <anchor moveWithCells="1" sizeWithCells="1">
              <from>
                <xdr:col>0</xdr:col>
                <xdr:colOff>133350</xdr:colOff>
                <xdr:row>100</xdr:row>
                <xdr:rowOff>114300</xdr:rowOff>
              </from>
              <to>
                <xdr:col>4</xdr:col>
                <xdr:colOff>0</xdr:colOff>
                <xdr:row>104</xdr:row>
                <xdr:rowOff>123825</xdr:rowOff>
              </to>
            </anchor>
          </objectPr>
        </oleObject>
      </mc:Choice>
      <mc:Fallback>
        <oleObject progId="Equation.3" shapeId="1112" r:id="rId8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2"/>
  <sheetViews>
    <sheetView workbookViewId="0">
      <selection activeCell="M23" sqref="M23"/>
    </sheetView>
  </sheetViews>
  <sheetFormatPr defaultRowHeight="15" x14ac:dyDescent="0.25"/>
  <cols>
    <col min="1" max="1" width="13.42578125" customWidth="1"/>
    <col min="2" max="2" width="13" customWidth="1"/>
    <col min="3" max="3" width="11.5703125" customWidth="1"/>
    <col min="5" max="5" width="12.140625" customWidth="1"/>
    <col min="9" max="9" width="11.85546875" customWidth="1"/>
  </cols>
  <sheetData>
    <row r="1" spans="1:17" ht="30.75" thickBot="1" x14ac:dyDescent="0.3">
      <c r="A1" s="2" t="s">
        <v>79</v>
      </c>
      <c r="B1" s="19" t="s">
        <v>81</v>
      </c>
      <c r="C1" s="2" t="s">
        <v>80</v>
      </c>
      <c r="E1" s="2" t="s">
        <v>79</v>
      </c>
      <c r="F1" s="19" t="s">
        <v>81</v>
      </c>
      <c r="G1" s="2" t="s">
        <v>80</v>
      </c>
      <c r="I1" s="2" t="s">
        <v>79</v>
      </c>
      <c r="J1" s="19" t="s">
        <v>81</v>
      </c>
      <c r="K1" s="2" t="s">
        <v>80</v>
      </c>
      <c r="M1" s="2" t="s">
        <v>79</v>
      </c>
      <c r="N1" s="19" t="s">
        <v>81</v>
      </c>
      <c r="O1" s="2" t="s">
        <v>80</v>
      </c>
    </row>
    <row r="2" spans="1:17" ht="15.75" customHeight="1" thickBot="1" x14ac:dyDescent="0.3">
      <c r="A2" s="119" t="s">
        <v>82</v>
      </c>
      <c r="B2" s="120"/>
      <c r="C2" s="121"/>
      <c r="E2" s="119" t="s">
        <v>83</v>
      </c>
      <c r="F2" s="120"/>
      <c r="G2" s="121"/>
      <c r="I2" s="119" t="s">
        <v>84</v>
      </c>
      <c r="J2" s="120"/>
      <c r="K2" s="121"/>
      <c r="M2" s="119" t="s">
        <v>85</v>
      </c>
      <c r="N2" s="120"/>
      <c r="O2" s="48">
        <v>12</v>
      </c>
    </row>
    <row r="3" spans="1:17" ht="15.75" thickBot="1" x14ac:dyDescent="0.3">
      <c r="A3" s="47">
        <v>1</v>
      </c>
      <c r="B3" s="49">
        <f>38.393*A3/(5^0.5)</f>
        <v>17.169871572029884</v>
      </c>
      <c r="C3" s="50">
        <f>(B3*4/3.14)^0.5</f>
        <v>4.6767988905295521</v>
      </c>
      <c r="E3" s="47">
        <v>1</v>
      </c>
      <c r="F3" s="49">
        <f>38.393*E3/(6^0.5)</f>
        <v>15.673876615779095</v>
      </c>
      <c r="G3" s="50">
        <f>(F3*4/3.14)^0.5</f>
        <v>4.4684137905458412</v>
      </c>
      <c r="I3" s="47">
        <v>1</v>
      </c>
      <c r="J3" s="49">
        <f>38.393*I3/(8^0.5)</f>
        <v>13.573975325047559</v>
      </c>
      <c r="K3" s="50">
        <f>(J3*4/3.14)^0.5</f>
        <v>4.1583275859607909</v>
      </c>
      <c r="M3" s="47">
        <v>1</v>
      </c>
      <c r="N3" s="49">
        <f>38.393*M3/($O$2^0.5)</f>
        <v>11.083104442498652</v>
      </c>
      <c r="O3" s="50">
        <f>(N3*4/3.14)^0.5</f>
        <v>3.7574731383402598</v>
      </c>
    </row>
    <row r="4" spans="1:17" ht="15.75" thickBot="1" x14ac:dyDescent="0.3">
      <c r="A4" s="1">
        <v>2</v>
      </c>
      <c r="B4" s="49">
        <f t="shared" ref="B4:B22" si="0">38.393*A4/(5^0.5)</f>
        <v>34.339743144059767</v>
      </c>
      <c r="C4" s="50">
        <f t="shared" ref="C4:C22" si="1">(B4*4/3.14)^0.5</f>
        <v>6.613992419478337</v>
      </c>
      <c r="E4" s="1">
        <v>2</v>
      </c>
      <c r="F4" s="49">
        <f t="shared" ref="F4:F22" si="2">38.393*E4/(6^0.5)</f>
        <v>31.34775323155819</v>
      </c>
      <c r="G4" s="50">
        <f t="shared" ref="G4:G22" si="3">(F4*4/3.14)^0.5</f>
        <v>6.3192913848848988</v>
      </c>
      <c r="I4" s="1">
        <v>2</v>
      </c>
      <c r="J4" s="49">
        <f t="shared" ref="J4:J22" si="4">38.393*I4/(8^0.5)</f>
        <v>27.147950650095119</v>
      </c>
      <c r="K4" s="50">
        <f t="shared" ref="K4:K22" si="5">(J4*4/3.14)^0.5</f>
        <v>5.8807632688559224</v>
      </c>
      <c r="M4" s="1">
        <v>2</v>
      </c>
      <c r="N4" s="49">
        <f t="shared" ref="N4:N22" si="6">38.393*M4/($O$2^0.5)</f>
        <v>22.166208884997303</v>
      </c>
      <c r="O4" s="50">
        <f t="shared" ref="O4:O21" si="7">(N4*4/3.14)^0.5</f>
        <v>5.3138694724933924</v>
      </c>
    </row>
    <row r="5" spans="1:17" ht="15.75" thickBot="1" x14ac:dyDescent="0.3">
      <c r="A5" s="1">
        <f>A4+1</f>
        <v>3</v>
      </c>
      <c r="B5" s="49">
        <f t="shared" si="0"/>
        <v>51.509614716089651</v>
      </c>
      <c r="C5" s="50">
        <f t="shared" si="1"/>
        <v>8.100453295178939</v>
      </c>
      <c r="E5" s="1">
        <f>E4+1</f>
        <v>3</v>
      </c>
      <c r="F5" s="49">
        <f t="shared" si="2"/>
        <v>47.02162984733728</v>
      </c>
      <c r="G5" s="50">
        <f t="shared" si="3"/>
        <v>7.7395197144668311</v>
      </c>
      <c r="I5" s="1">
        <f>I4+1</f>
        <v>3</v>
      </c>
      <c r="J5" s="49">
        <f t="shared" si="4"/>
        <v>40.721925975142675</v>
      </c>
      <c r="K5" s="50">
        <f t="shared" si="5"/>
        <v>7.2024346533993269</v>
      </c>
      <c r="M5" s="1">
        <f>M4+1</f>
        <v>3</v>
      </c>
      <c r="N5" s="49">
        <f t="shared" si="6"/>
        <v>33.249313327495955</v>
      </c>
      <c r="O5" s="50">
        <f t="shared" si="7"/>
        <v>6.50813438368061</v>
      </c>
    </row>
    <row r="6" spans="1:17" ht="15.75" thickBot="1" x14ac:dyDescent="0.3">
      <c r="A6" s="1">
        <f t="shared" ref="A6:A22" si="8">A5+1</f>
        <v>4</v>
      </c>
      <c r="B6" s="49">
        <f t="shared" si="0"/>
        <v>68.679486288119534</v>
      </c>
      <c r="C6" s="50">
        <f t="shared" si="1"/>
        <v>9.3535977810591042</v>
      </c>
      <c r="E6" s="1">
        <f t="shared" ref="E6:E22" si="9">E5+1</f>
        <v>4</v>
      </c>
      <c r="F6" s="49">
        <f t="shared" si="2"/>
        <v>62.695506463116381</v>
      </c>
      <c r="G6" s="50">
        <f t="shared" si="3"/>
        <v>8.9368275810916824</v>
      </c>
      <c r="I6" s="1">
        <f t="shared" ref="I6:I22" si="10">I5+1</f>
        <v>4</v>
      </c>
      <c r="J6" s="49">
        <f t="shared" si="4"/>
        <v>54.295901300190238</v>
      </c>
      <c r="K6" s="50">
        <f t="shared" si="5"/>
        <v>8.3166551719215818</v>
      </c>
      <c r="M6" s="1">
        <f t="shared" ref="M6:M21" si="11">M5+1</f>
        <v>4</v>
      </c>
      <c r="N6" s="49">
        <f t="shared" si="6"/>
        <v>44.332417769994606</v>
      </c>
      <c r="O6" s="50">
        <f t="shared" si="7"/>
        <v>7.5149462766805195</v>
      </c>
    </row>
    <row r="7" spans="1:17" ht="15.75" thickBot="1" x14ac:dyDescent="0.3">
      <c r="A7" s="1">
        <f t="shared" si="8"/>
        <v>5</v>
      </c>
      <c r="B7" s="49">
        <f t="shared" si="0"/>
        <v>85.849357860149425</v>
      </c>
      <c r="C7" s="50">
        <f t="shared" si="1"/>
        <v>10.457640236319676</v>
      </c>
      <c r="E7" s="1">
        <f t="shared" si="9"/>
        <v>5</v>
      </c>
      <c r="F7" s="49">
        <f t="shared" si="2"/>
        <v>78.369383078895467</v>
      </c>
      <c r="G7" s="50">
        <f t="shared" si="3"/>
        <v>9.9916769872580051</v>
      </c>
      <c r="I7" s="1">
        <f t="shared" si="10"/>
        <v>5</v>
      </c>
      <c r="J7" s="49">
        <f t="shared" si="4"/>
        <v>67.869876625237794</v>
      </c>
      <c r="K7" s="50">
        <f t="shared" si="5"/>
        <v>9.2983031549209283</v>
      </c>
      <c r="M7" s="1">
        <f t="shared" si="11"/>
        <v>5</v>
      </c>
      <c r="N7" s="49">
        <f t="shared" si="6"/>
        <v>55.415522212493258</v>
      </c>
      <c r="O7" s="50">
        <f t="shared" si="7"/>
        <v>8.4019653609582914</v>
      </c>
    </row>
    <row r="8" spans="1:17" ht="15.75" thickBot="1" x14ac:dyDescent="0.3">
      <c r="A8" s="1">
        <f t="shared" si="8"/>
        <v>6</v>
      </c>
      <c r="B8" s="49">
        <f t="shared" si="0"/>
        <v>103.0192294321793</v>
      </c>
      <c r="C8" s="50">
        <f t="shared" si="1"/>
        <v>11.455770911411886</v>
      </c>
      <c r="E8" s="1">
        <f t="shared" si="9"/>
        <v>6</v>
      </c>
      <c r="F8" s="49">
        <f t="shared" si="2"/>
        <v>94.04325969467456</v>
      </c>
      <c r="G8" s="50">
        <f t="shared" si="3"/>
        <v>10.945333746452937</v>
      </c>
      <c r="I8" s="1">
        <f t="shared" si="10"/>
        <v>6</v>
      </c>
      <c r="J8" s="49">
        <f t="shared" si="4"/>
        <v>81.44385195028535</v>
      </c>
      <c r="K8" s="50">
        <f t="shared" si="5"/>
        <v>10.185780768943291</v>
      </c>
      <c r="M8" s="1">
        <f t="shared" si="11"/>
        <v>6</v>
      </c>
      <c r="N8" s="49">
        <f t="shared" si="6"/>
        <v>66.498626654991909</v>
      </c>
      <c r="O8" s="50">
        <f t="shared" si="7"/>
        <v>9.2038919111477835</v>
      </c>
    </row>
    <row r="9" spans="1:17" ht="15.75" thickBot="1" x14ac:dyDescent="0.3">
      <c r="A9" s="1">
        <f t="shared" si="8"/>
        <v>7</v>
      </c>
      <c r="B9" s="49">
        <f t="shared" si="0"/>
        <v>120.18910100420918</v>
      </c>
      <c r="C9" s="50">
        <f t="shared" si="1"/>
        <v>12.373646796203985</v>
      </c>
      <c r="E9" s="1">
        <f t="shared" si="9"/>
        <v>7</v>
      </c>
      <c r="F9" s="49">
        <f t="shared" si="2"/>
        <v>109.71713631045365</v>
      </c>
      <c r="G9" s="50">
        <f t="shared" si="3"/>
        <v>11.822311644715754</v>
      </c>
      <c r="I9" s="1">
        <f t="shared" si="10"/>
        <v>7</v>
      </c>
      <c r="J9" s="49">
        <f t="shared" si="4"/>
        <v>95.017827275332905</v>
      </c>
      <c r="K9" s="50">
        <f t="shared" si="5"/>
        <v>11.001900662391815</v>
      </c>
      <c r="M9" s="1">
        <f t="shared" si="11"/>
        <v>7</v>
      </c>
      <c r="N9" s="49">
        <f t="shared" si="6"/>
        <v>77.581731097490561</v>
      </c>
      <c r="O9" s="50">
        <f t="shared" si="7"/>
        <v>9.9413394820537242</v>
      </c>
    </row>
    <row r="10" spans="1:17" ht="15.75" thickBot="1" x14ac:dyDescent="0.3">
      <c r="A10" s="1">
        <f t="shared" si="8"/>
        <v>8</v>
      </c>
      <c r="B10" s="49">
        <f t="shared" si="0"/>
        <v>137.35897257623907</v>
      </c>
      <c r="C10" s="50">
        <f t="shared" si="1"/>
        <v>13.227984838956674</v>
      </c>
      <c r="E10" s="1">
        <f t="shared" si="9"/>
        <v>8</v>
      </c>
      <c r="F10" s="49">
        <f t="shared" si="2"/>
        <v>125.39101292623276</v>
      </c>
      <c r="G10" s="50">
        <f t="shared" si="3"/>
        <v>12.638582769769798</v>
      </c>
      <c r="I10" s="1">
        <f t="shared" si="10"/>
        <v>8</v>
      </c>
      <c r="J10" s="49">
        <f t="shared" si="4"/>
        <v>108.59180260038048</v>
      </c>
      <c r="K10" s="50">
        <f t="shared" si="5"/>
        <v>11.761526537711845</v>
      </c>
      <c r="M10" s="1">
        <f t="shared" si="11"/>
        <v>8</v>
      </c>
      <c r="N10" s="49">
        <f t="shared" si="6"/>
        <v>88.664835539989213</v>
      </c>
      <c r="O10" s="50">
        <f t="shared" si="7"/>
        <v>10.627738944986785</v>
      </c>
    </row>
    <row r="11" spans="1:17" ht="15.75" thickBot="1" x14ac:dyDescent="0.3">
      <c r="A11" s="1">
        <f t="shared" si="8"/>
        <v>9</v>
      </c>
      <c r="B11" s="49">
        <f t="shared" si="0"/>
        <v>154.52884414826897</v>
      </c>
      <c r="C11" s="50">
        <f t="shared" si="1"/>
        <v>14.030396671588658</v>
      </c>
      <c r="E11" s="1">
        <f t="shared" si="9"/>
        <v>9</v>
      </c>
      <c r="F11" s="49">
        <f t="shared" si="2"/>
        <v>141.06488954201185</v>
      </c>
      <c r="G11" s="50">
        <f t="shared" si="3"/>
        <v>13.405241371637521</v>
      </c>
      <c r="I11" s="1">
        <f t="shared" si="10"/>
        <v>9</v>
      </c>
      <c r="J11" s="49">
        <f t="shared" si="4"/>
        <v>122.16577792542805</v>
      </c>
      <c r="K11" s="50">
        <f t="shared" si="5"/>
        <v>12.474982757882373</v>
      </c>
      <c r="M11" s="1">
        <f t="shared" si="11"/>
        <v>9</v>
      </c>
      <c r="N11" s="49">
        <f t="shared" si="6"/>
        <v>99.747939982487878</v>
      </c>
      <c r="O11" s="50">
        <f t="shared" si="7"/>
        <v>11.27241941502078</v>
      </c>
    </row>
    <row r="12" spans="1:17" ht="15.75" thickBot="1" x14ac:dyDescent="0.3">
      <c r="A12" s="1">
        <f t="shared" si="8"/>
        <v>10</v>
      </c>
      <c r="B12" s="49">
        <f t="shared" si="0"/>
        <v>171.69871572029885</v>
      </c>
      <c r="C12" s="50">
        <f t="shared" si="1"/>
        <v>14.789336652621865</v>
      </c>
      <c r="E12" s="1">
        <f t="shared" si="9"/>
        <v>10</v>
      </c>
      <c r="F12" s="49">
        <f t="shared" si="2"/>
        <v>156.73876615779093</v>
      </c>
      <c r="G12" s="50">
        <f t="shared" si="3"/>
        <v>14.130365106231418</v>
      </c>
      <c r="I12" s="1">
        <f t="shared" si="10"/>
        <v>10</v>
      </c>
      <c r="J12" s="49">
        <f t="shared" si="4"/>
        <v>135.73975325047559</v>
      </c>
      <c r="K12" s="50">
        <f t="shared" si="5"/>
        <v>13.149786428745713</v>
      </c>
      <c r="M12" s="1">
        <f t="shared" si="11"/>
        <v>10</v>
      </c>
      <c r="N12" s="49">
        <f t="shared" si="6"/>
        <v>110.83104442498652</v>
      </c>
      <c r="O12" s="50">
        <f t="shared" si="7"/>
        <v>11.882173364056174</v>
      </c>
      <c r="Q12" t="s">
        <v>86</v>
      </c>
    </row>
    <row r="13" spans="1:17" ht="15.75" thickBot="1" x14ac:dyDescent="0.3">
      <c r="A13" s="1">
        <f t="shared" si="8"/>
        <v>11</v>
      </c>
      <c r="B13" s="49">
        <f t="shared" si="0"/>
        <v>188.86858729232873</v>
      </c>
      <c r="C13" s="50">
        <f t="shared" si="1"/>
        <v>15.511187139836943</v>
      </c>
      <c r="E13" s="1">
        <f t="shared" si="9"/>
        <v>11</v>
      </c>
      <c r="F13" s="49">
        <f t="shared" si="2"/>
        <v>172.41264277357001</v>
      </c>
      <c r="G13" s="50">
        <f t="shared" si="3"/>
        <v>14.820051951290274</v>
      </c>
      <c r="I13" s="1">
        <f t="shared" si="10"/>
        <v>11</v>
      </c>
      <c r="J13" s="49">
        <f t="shared" si="4"/>
        <v>149.31372857552313</v>
      </c>
      <c r="K13" s="50">
        <f t="shared" si="5"/>
        <v>13.791612358016282</v>
      </c>
      <c r="M13" s="1">
        <f t="shared" si="11"/>
        <v>11</v>
      </c>
      <c r="N13" s="49">
        <f t="shared" si="6"/>
        <v>121.91414886748517</v>
      </c>
      <c r="O13" s="50">
        <f t="shared" si="7"/>
        <v>12.462128559713809</v>
      </c>
    </row>
    <row r="14" spans="1:17" ht="15.75" thickBot="1" x14ac:dyDescent="0.3">
      <c r="A14" s="1">
        <f t="shared" si="8"/>
        <v>12</v>
      </c>
      <c r="B14" s="49">
        <f t="shared" si="0"/>
        <v>206.0384588643586</v>
      </c>
      <c r="C14" s="50">
        <f t="shared" si="1"/>
        <v>16.200906590357878</v>
      </c>
      <c r="E14" s="1">
        <f t="shared" si="9"/>
        <v>12</v>
      </c>
      <c r="F14" s="49">
        <f t="shared" si="2"/>
        <v>188.08651938934912</v>
      </c>
      <c r="G14" s="50">
        <f t="shared" si="3"/>
        <v>15.479039428933662</v>
      </c>
      <c r="I14" s="1">
        <f t="shared" si="10"/>
        <v>12</v>
      </c>
      <c r="J14" s="49">
        <f t="shared" si="4"/>
        <v>162.8877039005707</v>
      </c>
      <c r="K14" s="50">
        <f t="shared" si="5"/>
        <v>14.404869306798654</v>
      </c>
      <c r="M14" s="1">
        <f t="shared" si="11"/>
        <v>12</v>
      </c>
      <c r="N14" s="49">
        <f t="shared" si="6"/>
        <v>132.99725330998382</v>
      </c>
      <c r="O14" s="50">
        <f t="shared" si="7"/>
        <v>13.01626876736122</v>
      </c>
    </row>
    <row r="15" spans="1:17" ht="15.75" thickBot="1" x14ac:dyDescent="0.3">
      <c r="A15" s="1">
        <f t="shared" si="8"/>
        <v>13</v>
      </c>
      <c r="B15" s="49">
        <f t="shared" si="0"/>
        <v>223.20833043638851</v>
      </c>
      <c r="C15" s="50">
        <f t="shared" si="1"/>
        <v>16.862438204837396</v>
      </c>
      <c r="E15" s="1">
        <f t="shared" si="9"/>
        <v>13</v>
      </c>
      <c r="F15" s="49">
        <f t="shared" si="2"/>
        <v>203.76039600512823</v>
      </c>
      <c r="G15" s="50">
        <f t="shared" si="3"/>
        <v>16.111095041803434</v>
      </c>
      <c r="I15" s="1">
        <f t="shared" si="10"/>
        <v>13</v>
      </c>
      <c r="J15" s="49">
        <f t="shared" si="4"/>
        <v>176.46167922561827</v>
      </c>
      <c r="K15" s="50">
        <f t="shared" si="5"/>
        <v>14.993063331358019</v>
      </c>
      <c r="M15" s="1">
        <f t="shared" si="11"/>
        <v>13</v>
      </c>
      <c r="N15" s="49">
        <f t="shared" si="6"/>
        <v>144.08035775248248</v>
      </c>
      <c r="O15" s="50">
        <f t="shared" si="7"/>
        <v>13.547762066464403</v>
      </c>
    </row>
    <row r="16" spans="1:17" ht="15.75" thickBot="1" x14ac:dyDescent="0.3">
      <c r="A16" s="1">
        <f t="shared" si="8"/>
        <v>14</v>
      </c>
      <c r="B16" s="49">
        <f t="shared" si="0"/>
        <v>240.37820200841836</v>
      </c>
      <c r="C16" s="50">
        <f t="shared" si="1"/>
        <v>17.498979115206073</v>
      </c>
      <c r="E16" s="1">
        <f t="shared" si="9"/>
        <v>14</v>
      </c>
      <c r="F16" s="49">
        <f t="shared" si="2"/>
        <v>219.43427262090731</v>
      </c>
      <c r="G16" s="50">
        <f t="shared" si="3"/>
        <v>16.719273466558391</v>
      </c>
      <c r="I16" s="1">
        <f t="shared" si="10"/>
        <v>14</v>
      </c>
      <c r="J16" s="49">
        <f t="shared" si="4"/>
        <v>190.03565455066581</v>
      </c>
      <c r="K16" s="50">
        <f t="shared" si="5"/>
        <v>15.559037128636042</v>
      </c>
      <c r="M16" s="1">
        <f t="shared" si="11"/>
        <v>14</v>
      </c>
      <c r="N16" s="49">
        <f t="shared" si="6"/>
        <v>155.16346219498112</v>
      </c>
      <c r="O16" s="50">
        <f t="shared" si="7"/>
        <v>14.059177123675497</v>
      </c>
    </row>
    <row r="17" spans="1:15" ht="15.75" thickBot="1" x14ac:dyDescent="0.3">
      <c r="A17" s="1">
        <f t="shared" si="8"/>
        <v>15</v>
      </c>
      <c r="B17" s="49">
        <f t="shared" si="0"/>
        <v>257.54807358044826</v>
      </c>
      <c r="C17" s="50">
        <f t="shared" si="1"/>
        <v>18.11316421658228</v>
      </c>
      <c r="E17" s="1">
        <f t="shared" si="9"/>
        <v>15</v>
      </c>
      <c r="F17" s="49">
        <f t="shared" si="2"/>
        <v>235.10814923668642</v>
      </c>
      <c r="G17" s="50">
        <f t="shared" si="3"/>
        <v>17.306092194747599</v>
      </c>
      <c r="I17" s="1">
        <f t="shared" si="10"/>
        <v>15</v>
      </c>
      <c r="J17" s="49">
        <f t="shared" si="4"/>
        <v>203.60962987571338</v>
      </c>
      <c r="K17" s="50">
        <f t="shared" si="5"/>
        <v>16.105133488501032</v>
      </c>
      <c r="M17" s="1">
        <f t="shared" si="11"/>
        <v>15</v>
      </c>
      <c r="N17" s="49">
        <f t="shared" si="6"/>
        <v>166.24656663747976</v>
      </c>
      <c r="O17" s="50">
        <f t="shared" si="7"/>
        <v>14.552630888613542</v>
      </c>
    </row>
    <row r="18" spans="1:15" ht="15.75" thickBot="1" x14ac:dyDescent="0.3">
      <c r="A18" s="1">
        <f t="shared" si="8"/>
        <v>16</v>
      </c>
      <c r="B18" s="49">
        <f t="shared" si="0"/>
        <v>274.71794515247814</v>
      </c>
      <c r="C18" s="50">
        <f t="shared" si="1"/>
        <v>18.707195562118208</v>
      </c>
      <c r="E18" s="1">
        <f t="shared" si="9"/>
        <v>16</v>
      </c>
      <c r="F18" s="49">
        <f t="shared" si="2"/>
        <v>250.78202585246552</v>
      </c>
      <c r="G18" s="50">
        <f t="shared" si="3"/>
        <v>17.873655162183365</v>
      </c>
      <c r="I18" s="1">
        <f t="shared" si="10"/>
        <v>16</v>
      </c>
      <c r="J18" s="49">
        <f t="shared" si="4"/>
        <v>217.18360520076095</v>
      </c>
      <c r="K18" s="50">
        <f t="shared" si="5"/>
        <v>16.633310343843164</v>
      </c>
      <c r="M18" s="1">
        <f t="shared" si="11"/>
        <v>16</v>
      </c>
      <c r="N18" s="49">
        <f t="shared" si="6"/>
        <v>177.32967107997843</v>
      </c>
      <c r="O18" s="50">
        <f t="shared" si="7"/>
        <v>15.029892553361039</v>
      </c>
    </row>
    <row r="19" spans="1:15" ht="15.75" thickBot="1" x14ac:dyDescent="0.3">
      <c r="A19" s="1">
        <f t="shared" si="8"/>
        <v>17</v>
      </c>
      <c r="B19" s="49">
        <f t="shared" si="0"/>
        <v>291.88781672450807</v>
      </c>
      <c r="C19" s="50">
        <f t="shared" si="1"/>
        <v>19.282935815424832</v>
      </c>
      <c r="E19" s="1">
        <f t="shared" si="9"/>
        <v>17</v>
      </c>
      <c r="F19" s="49">
        <f t="shared" si="2"/>
        <v>266.45590246824463</v>
      </c>
      <c r="G19" s="50">
        <f t="shared" si="3"/>
        <v>18.42374203738709</v>
      </c>
      <c r="I19" s="1">
        <f t="shared" si="10"/>
        <v>17</v>
      </c>
      <c r="J19" s="49">
        <f t="shared" si="4"/>
        <v>230.75758052580852</v>
      </c>
      <c r="K19" s="50">
        <f t="shared" si="5"/>
        <v>17.145223862836044</v>
      </c>
      <c r="M19" s="1">
        <f t="shared" si="11"/>
        <v>17</v>
      </c>
      <c r="N19" s="49">
        <f t="shared" si="6"/>
        <v>188.41277552247709</v>
      </c>
      <c r="O19" s="50">
        <f t="shared" si="7"/>
        <v>15.492458634797972</v>
      </c>
    </row>
    <row r="20" spans="1:15" ht="15.75" thickBot="1" x14ac:dyDescent="0.3">
      <c r="A20" s="1">
        <f t="shared" si="8"/>
        <v>18</v>
      </c>
      <c r="B20" s="49">
        <f t="shared" si="0"/>
        <v>309.05768829653795</v>
      </c>
      <c r="C20" s="50">
        <f t="shared" si="1"/>
        <v>19.841977258435012</v>
      </c>
      <c r="E20" s="1">
        <f t="shared" si="9"/>
        <v>18</v>
      </c>
      <c r="F20" s="49">
        <f t="shared" si="2"/>
        <v>282.12977908402371</v>
      </c>
      <c r="G20" s="50">
        <f t="shared" si="3"/>
        <v>18.957874154654693</v>
      </c>
      <c r="I20" s="1">
        <f t="shared" si="10"/>
        <v>18</v>
      </c>
      <c r="J20" s="49">
        <f t="shared" si="4"/>
        <v>244.33155585085609</v>
      </c>
      <c r="K20" s="50">
        <f t="shared" si="5"/>
        <v>17.642289806567767</v>
      </c>
      <c r="M20" s="1">
        <f t="shared" si="11"/>
        <v>18</v>
      </c>
      <c r="N20" s="49">
        <f t="shared" si="6"/>
        <v>199.49587996497576</v>
      </c>
      <c r="O20" s="50">
        <f t="shared" si="7"/>
        <v>15.941608417480177</v>
      </c>
    </row>
    <row r="21" spans="1:15" ht="15.75" thickBot="1" x14ac:dyDescent="0.3">
      <c r="A21" s="1">
        <f t="shared" si="8"/>
        <v>19</v>
      </c>
      <c r="B21" s="49">
        <f t="shared" si="0"/>
        <v>326.22755986856782</v>
      </c>
      <c r="C21" s="50">
        <f t="shared" si="1"/>
        <v>20.385693743081461</v>
      </c>
      <c r="E21" s="1">
        <f t="shared" si="9"/>
        <v>19</v>
      </c>
      <c r="F21" s="49">
        <f t="shared" si="2"/>
        <v>297.80365569980279</v>
      </c>
      <c r="G21" s="50">
        <f t="shared" si="3"/>
        <v>19.477364150912841</v>
      </c>
      <c r="I21" s="1">
        <f t="shared" si="10"/>
        <v>19</v>
      </c>
      <c r="J21" s="49">
        <f t="shared" si="4"/>
        <v>257.9055311759036</v>
      </c>
      <c r="K21" s="50">
        <f t="shared" si="5"/>
        <v>18.125729721340527</v>
      </c>
      <c r="M21" s="1">
        <f t="shared" si="11"/>
        <v>19</v>
      </c>
      <c r="N21" s="49">
        <f t="shared" si="6"/>
        <v>210.57898440747437</v>
      </c>
      <c r="O21" s="50">
        <f t="shared" si="7"/>
        <v>16.378445693093816</v>
      </c>
    </row>
    <row r="22" spans="1:15" ht="15.75" thickBot="1" x14ac:dyDescent="0.3">
      <c r="A22" s="1">
        <f t="shared" si="8"/>
        <v>20</v>
      </c>
      <c r="B22" s="49">
        <f t="shared" si="0"/>
        <v>343.3974314405977</v>
      </c>
      <c r="C22" s="50">
        <f t="shared" si="1"/>
        <v>20.915280472639353</v>
      </c>
      <c r="E22" s="1">
        <f t="shared" si="9"/>
        <v>20</v>
      </c>
      <c r="F22" s="49">
        <f t="shared" si="2"/>
        <v>313.47753231558187</v>
      </c>
      <c r="G22" s="50">
        <f t="shared" si="3"/>
        <v>19.98335397451601</v>
      </c>
      <c r="I22" s="1">
        <f t="shared" si="10"/>
        <v>20</v>
      </c>
      <c r="J22" s="49">
        <f t="shared" si="4"/>
        <v>271.47950650095117</v>
      </c>
      <c r="K22" s="50">
        <f t="shared" si="5"/>
        <v>18.596606309841857</v>
      </c>
      <c r="M22" s="1">
        <v>40</v>
      </c>
      <c r="N22" s="49">
        <f t="shared" si="6"/>
        <v>443.32417769994606</v>
      </c>
      <c r="O22" s="50">
        <f>(N22*4/3.14)^0.5</f>
        <v>23.764346728112347</v>
      </c>
    </row>
  </sheetData>
  <mergeCells count="4">
    <mergeCell ref="A2:C2"/>
    <mergeCell ref="E2:G2"/>
    <mergeCell ref="I2:K2"/>
    <mergeCell ref="M2:N2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114300</xdr:colOff>
                <xdr:row>23</xdr:row>
                <xdr:rowOff>38100</xdr:rowOff>
              </from>
              <to>
                <xdr:col>1</xdr:col>
                <xdr:colOff>714375</xdr:colOff>
                <xdr:row>25</xdr:row>
                <xdr:rowOff>123825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r:id="rId7">
            <anchor moveWithCells="1" sizeWithCells="1">
              <from>
                <xdr:col>1</xdr:col>
                <xdr:colOff>857250</xdr:colOff>
                <xdr:row>22</xdr:row>
                <xdr:rowOff>171450</xdr:rowOff>
              </from>
              <to>
                <xdr:col>4</xdr:col>
                <xdr:colOff>590550</xdr:colOff>
                <xdr:row>26</xdr:row>
                <xdr:rowOff>19050</xdr:rowOff>
              </to>
            </anchor>
          </objectPr>
        </oleObject>
      </mc:Choice>
      <mc:Fallback>
        <oleObject progId="Equation.3" shapeId="205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2015-02-07T15:06:24Z</dcterms:modified>
</cp:coreProperties>
</file>