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240" yWindow="225" windowWidth="20115" windowHeight="8385"/>
  </bookViews>
  <sheets>
    <sheet name="Теплоакумулятор" sheetId="1" r:id="rId1"/>
    <sheet name="Расчеты" sheetId="3" state="hidden" r:id="rId2"/>
    <sheet name="Теплообменник" sheetId="2" r:id="rId3"/>
  </sheets>
  <definedNames>
    <definedName name="Время">INDIRECT(CONCATENATE("Расчеты!$E$20:$E$",241-COUNTIF(Расчеты!$C$2:$C$1904,"&lt;""")+19))</definedName>
    <definedName name="Закладка">INDIRECT(CONCATENATE("Расчеты!$I$20:$I$",241-COUNTIF(Расчеты!$C$2:$C$1900,"&lt;""")+19))</definedName>
    <definedName name="Нач.темп.Столбец">COLUMN(Теплоакумулятор!XFA1048574)</definedName>
    <definedName name="Нач.темп.Строка">ROW(Теплоакумулятор!XFB1)</definedName>
    <definedName name="Темп._Мах">INDIRECT(CONCATENATE("Расчеты!$H$20:$H$",241-COUNTIF(Расчеты!$C$2:$C$1898,"&lt;""")+19))</definedName>
    <definedName name="Темпер.Мин">INDIRECT(CONCATENATE("Расчеты!$G$20:$G$",241-COUNTIF(Расчеты!$C$2:$C$1900,"&lt;""")+19))</definedName>
    <definedName name="ТемператураТА">INDIRECT(CONCATENATE("Расчеты!$F$20:$F$",241-COUNTIF(Расчеты!$C$2:$C$1902,"&lt;""")+19))</definedName>
  </definedNames>
  <calcPr calcId="145621" calcOnSave="0"/>
</workbook>
</file>

<file path=xl/calcChain.xml><?xml version="1.0" encoding="utf-8"?>
<calcChain xmlns="http://schemas.openxmlformats.org/spreadsheetml/2006/main">
  <c r="C53" i="2" l="1"/>
  <c r="E34" i="2"/>
  <c r="E33" i="2"/>
  <c r="B53" i="2" l="1"/>
  <c r="E37" i="1" l="1"/>
  <c r="E38" i="1"/>
  <c r="E39" i="1"/>
  <c r="E40" i="1"/>
  <c r="B46" i="1" l="1"/>
  <c r="B41" i="1"/>
  <c r="E32" i="1"/>
  <c r="E33" i="1"/>
  <c r="E34" i="1"/>
  <c r="E35" i="1"/>
  <c r="E36" i="1"/>
  <c r="E31" i="1"/>
  <c r="F35" i="1" l="1"/>
  <c r="F39" i="1"/>
  <c r="B54" i="1"/>
  <c r="F37" i="1"/>
  <c r="F36" i="1"/>
  <c r="E41" i="1"/>
  <c r="B55" i="1" s="1"/>
  <c r="O11" i="3"/>
  <c r="L4" i="3"/>
  <c r="L5" i="3"/>
  <c r="L6" i="3"/>
  <c r="L7" i="3"/>
  <c r="L8" i="3"/>
  <c r="O8" i="3" s="1"/>
  <c r="L9" i="3"/>
  <c r="O9" i="3" s="1"/>
  <c r="L10" i="3"/>
  <c r="O10" i="3" s="1"/>
  <c r="L3" i="3"/>
  <c r="J4" i="3"/>
  <c r="J5" i="3"/>
  <c r="J6" i="3"/>
  <c r="J7" i="3"/>
  <c r="J8" i="3"/>
  <c r="J9" i="3"/>
  <c r="G9" i="3" s="1"/>
  <c r="J10" i="3"/>
  <c r="G10" i="3" s="1"/>
  <c r="J3" i="3"/>
  <c r="G3" i="3" s="1"/>
  <c r="F40" i="1" l="1"/>
  <c r="F34" i="1"/>
  <c r="F32" i="1"/>
  <c r="F33" i="1"/>
  <c r="F38" i="1"/>
  <c r="O7" i="3"/>
  <c r="O6" i="3"/>
  <c r="O4" i="3"/>
  <c r="O5" i="3"/>
  <c r="F3" i="3" l="1"/>
  <c r="K8" i="3"/>
  <c r="F15" i="1" s="1"/>
  <c r="K9" i="3"/>
  <c r="F16" i="1" s="1"/>
  <c r="K10" i="3"/>
  <c r="F17" i="1" s="1"/>
  <c r="E11" i="3"/>
  <c r="F11" i="3"/>
  <c r="F7" i="3" l="1"/>
  <c r="E7" i="3"/>
  <c r="E3" i="3"/>
  <c r="F4" i="3"/>
  <c r="F5" i="3"/>
  <c r="F6" i="3"/>
  <c r="F8" i="3"/>
  <c r="F9" i="3"/>
  <c r="F10" i="3"/>
  <c r="E4" i="3"/>
  <c r="E5" i="3"/>
  <c r="E6" i="3"/>
  <c r="E8" i="3"/>
  <c r="E9" i="3"/>
  <c r="E10" i="3"/>
  <c r="K4" i="3"/>
  <c r="F11" i="1" s="1"/>
  <c r="K5" i="3"/>
  <c r="K6" i="3"/>
  <c r="F13" i="1" s="1"/>
  <c r="K7" i="3"/>
  <c r="F14" i="1" s="1"/>
  <c r="K3" i="3"/>
  <c r="G7" i="3" l="1"/>
  <c r="G8" i="3"/>
  <c r="F12" i="1"/>
  <c r="C3" i="3"/>
  <c r="C15" i="3"/>
  <c r="C39" i="3"/>
  <c r="C47" i="3"/>
  <c r="C55" i="3"/>
  <c r="C67" i="3"/>
  <c r="C95" i="3"/>
  <c r="C107" i="3"/>
  <c r="C123" i="3"/>
  <c r="C135" i="3"/>
  <c r="C147" i="3"/>
  <c r="C159" i="3"/>
  <c r="C183" i="3"/>
  <c r="C207" i="3"/>
  <c r="C219" i="3"/>
  <c r="C227" i="3"/>
  <c r="C235" i="3"/>
  <c r="C79" i="3"/>
  <c r="C115" i="3"/>
  <c r="C127" i="3"/>
  <c r="C139" i="3"/>
  <c r="C151" i="3"/>
  <c r="C163" i="3"/>
  <c r="C175" i="3"/>
  <c r="C187" i="3"/>
  <c r="C239" i="3"/>
  <c r="C7" i="3"/>
  <c r="C19" i="3"/>
  <c r="C27" i="3"/>
  <c r="C35" i="3"/>
  <c r="C43" i="3"/>
  <c r="C51" i="3"/>
  <c r="C59" i="3"/>
  <c r="C63" i="3"/>
  <c r="C99" i="3"/>
  <c r="C119" i="3"/>
  <c r="C131" i="3"/>
  <c r="C143" i="3"/>
  <c r="C155" i="3"/>
  <c r="C167" i="3"/>
  <c r="C179" i="3"/>
  <c r="C191" i="3"/>
  <c r="C223" i="3"/>
  <c r="C231" i="3"/>
  <c r="C4" i="3"/>
  <c r="C230" i="3"/>
  <c r="C198" i="3"/>
  <c r="C166" i="3"/>
  <c r="C134" i="3"/>
  <c r="C118" i="3"/>
  <c r="C66" i="3"/>
  <c r="C50" i="3"/>
  <c r="C34" i="3"/>
  <c r="C18" i="3"/>
  <c r="C241" i="3"/>
  <c r="C193" i="3"/>
  <c r="C177" i="3"/>
  <c r="C161" i="3"/>
  <c r="C145" i="3"/>
  <c r="C129" i="3"/>
  <c r="C49" i="3"/>
  <c r="C33" i="3"/>
  <c r="C17" i="3"/>
  <c r="C240" i="3"/>
  <c r="C208" i="3"/>
  <c r="C188" i="3"/>
  <c r="C172" i="3"/>
  <c r="C156" i="3"/>
  <c r="C140" i="3"/>
  <c r="C108" i="3"/>
  <c r="C44" i="3"/>
  <c r="C28" i="3"/>
  <c r="C186" i="3"/>
  <c r="C22" i="3"/>
  <c r="C213" i="3"/>
  <c r="C117" i="3"/>
  <c r="C69" i="3"/>
  <c r="C37" i="3"/>
  <c r="C228" i="3"/>
  <c r="C128" i="3"/>
  <c r="C226" i="3"/>
  <c r="C194" i="3"/>
  <c r="C178" i="3"/>
  <c r="C146" i="3"/>
  <c r="C114" i="3"/>
  <c r="C98" i="3"/>
  <c r="C46" i="3"/>
  <c r="C30" i="3"/>
  <c r="C14" i="3"/>
  <c r="C237" i="3"/>
  <c r="C221" i="3"/>
  <c r="C189" i="3"/>
  <c r="C173" i="3"/>
  <c r="C157" i="3"/>
  <c r="C125" i="3"/>
  <c r="C109" i="3"/>
  <c r="C77" i="3"/>
  <c r="C61" i="3"/>
  <c r="C45" i="3"/>
  <c r="C29" i="3"/>
  <c r="C13" i="3"/>
  <c r="C204" i="3"/>
  <c r="C184" i="3"/>
  <c r="C168" i="3"/>
  <c r="C40" i="3"/>
  <c r="C24" i="3"/>
  <c r="C8" i="3"/>
  <c r="C36" i="3"/>
  <c r="C54" i="3"/>
  <c r="C6" i="3"/>
  <c r="C197" i="3"/>
  <c r="C149" i="3"/>
  <c r="C212" i="3"/>
  <c r="C160" i="3"/>
  <c r="C112" i="3"/>
  <c r="C64" i="3"/>
  <c r="C126" i="3"/>
  <c r="C74" i="3"/>
  <c r="C58" i="3"/>
  <c r="C26" i="3"/>
  <c r="C10" i="3"/>
  <c r="C233" i="3"/>
  <c r="C217" i="3"/>
  <c r="C185" i="3"/>
  <c r="C169" i="3"/>
  <c r="C153" i="3"/>
  <c r="C137" i="3"/>
  <c r="C105" i="3"/>
  <c r="C89" i="3"/>
  <c r="C73" i="3"/>
  <c r="C57" i="3"/>
  <c r="C41" i="3"/>
  <c r="C9" i="3"/>
  <c r="C200" i="3"/>
  <c r="C164" i="3"/>
  <c r="C148" i="3"/>
  <c r="C116" i="3"/>
  <c r="C84" i="3"/>
  <c r="C68" i="3"/>
  <c r="C52" i="3"/>
  <c r="C20" i="3"/>
  <c r="C218" i="3"/>
  <c r="C170" i="3"/>
  <c r="C138" i="3"/>
  <c r="C38" i="3"/>
  <c r="C229" i="3"/>
  <c r="C133" i="3"/>
  <c r="C53" i="3"/>
  <c r="C5" i="3"/>
  <c r="C196" i="3"/>
  <c r="C144" i="3"/>
  <c r="C48" i="3"/>
  <c r="O3" i="3"/>
  <c r="G5" i="3"/>
  <c r="G4" i="3"/>
  <c r="G6" i="3"/>
  <c r="G11" i="3"/>
  <c r="F10" i="1"/>
  <c r="B26" i="1"/>
  <c r="A23" i="1"/>
  <c r="B24" i="2" l="1"/>
  <c r="B23" i="2" s="1"/>
  <c r="B15" i="2"/>
  <c r="B14" i="2" s="1"/>
  <c r="B53" i="1" l="1"/>
  <c r="B24" i="1" s="1"/>
  <c r="B72" i="1"/>
  <c r="B73" i="1" s="1"/>
  <c r="D66" i="1" l="1"/>
  <c r="F69" i="1"/>
  <c r="G69" i="1"/>
  <c r="H69" i="1"/>
  <c r="I69" i="1"/>
  <c r="J69" i="1"/>
  <c r="K69" i="1"/>
  <c r="L69" i="1"/>
  <c r="M69" i="1"/>
  <c r="N69" i="1"/>
  <c r="F70" i="1"/>
  <c r="G70" i="1"/>
  <c r="H70" i="1"/>
  <c r="I70" i="1"/>
  <c r="J70" i="1"/>
  <c r="K70" i="1"/>
  <c r="L70" i="1"/>
  <c r="M70" i="1"/>
  <c r="N70" i="1"/>
  <c r="E70" i="1"/>
  <c r="E69" i="1"/>
  <c r="B61" i="1"/>
  <c r="B60" i="1"/>
  <c r="B52" i="1"/>
  <c r="B25" i="1" l="1"/>
  <c r="D71" i="1"/>
  <c r="E71" i="1" s="1"/>
  <c r="B44" i="1"/>
  <c r="B45" i="1" s="1"/>
  <c r="D72" i="1" l="1"/>
  <c r="E72" i="1" s="1"/>
  <c r="H71" i="1"/>
  <c r="L71" i="1"/>
  <c r="G71" i="1"/>
  <c r="I71" i="1"/>
  <c r="M71" i="1"/>
  <c r="F71" i="1"/>
  <c r="J71" i="1"/>
  <c r="N71" i="1"/>
  <c r="K71" i="1"/>
  <c r="D73" i="1" l="1"/>
  <c r="E73" i="1" s="1"/>
  <c r="G72" i="1"/>
  <c r="K72" i="1"/>
  <c r="I72" i="1"/>
  <c r="F72" i="1"/>
  <c r="H72" i="1"/>
  <c r="L72" i="1"/>
  <c r="M72" i="1"/>
  <c r="J72" i="1"/>
  <c r="N72" i="1"/>
  <c r="F73" i="1" l="1"/>
  <c r="J73" i="1"/>
  <c r="N73" i="1"/>
  <c r="H73" i="1"/>
  <c r="I73" i="1"/>
  <c r="G73" i="1"/>
  <c r="K73" i="1"/>
  <c r="L73" i="1"/>
  <c r="M73" i="1"/>
  <c r="A4" i="3" l="1"/>
  <c r="A3" i="3"/>
  <c r="M3" i="3" l="1"/>
  <c r="C72" i="3" s="1"/>
  <c r="C42" i="3" l="1"/>
  <c r="C71" i="3"/>
  <c r="C32" i="3"/>
  <c r="C78" i="3"/>
  <c r="C201" i="3" l="1"/>
  <c r="C174" i="3"/>
  <c r="C76" i="3"/>
  <c r="C81" i="3"/>
  <c r="C87" i="3"/>
  <c r="C106" i="3"/>
  <c r="C132" i="3"/>
  <c r="C124" i="3"/>
  <c r="C104" i="3"/>
  <c r="C62" i="3"/>
  <c r="C60" i="3"/>
  <c r="C12" i="3"/>
  <c r="C111" i="3" l="1"/>
  <c r="C130" i="3"/>
  <c r="C21" i="3"/>
  <c r="C121" i="3"/>
  <c r="C31" i="3"/>
  <c r="C122" i="3"/>
  <c r="C203" i="3" l="1"/>
  <c r="C210" i="3"/>
  <c r="C224" i="3"/>
  <c r="C234" i="3"/>
  <c r="C23" i="3"/>
  <c r="C120" i="3"/>
  <c r="C113" i="3"/>
  <c r="C152" i="3"/>
  <c r="C136" i="3" l="1"/>
  <c r="C16" i="3"/>
  <c r="C150" i="3"/>
  <c r="C141" i="3"/>
  <c r="C171" i="3"/>
  <c r="C180" i="3"/>
  <c r="C238" i="3"/>
  <c r="C158" i="3"/>
  <c r="C162" i="3"/>
  <c r="A6" i="3" l="1"/>
  <c r="A7" i="3"/>
  <c r="C176" i="3" l="1"/>
  <c r="C181" i="3"/>
  <c r="C199" i="3"/>
  <c r="A5" i="3"/>
  <c r="A10" i="3"/>
  <c r="A8" i="3"/>
  <c r="A9" i="3"/>
  <c r="C220" i="3" l="1"/>
  <c r="C232" i="3"/>
  <c r="A12" i="3"/>
  <c r="A13" i="3" l="1"/>
  <c r="A14" i="3" l="1"/>
  <c r="A15" i="3" l="1"/>
  <c r="A16" i="3" s="1"/>
  <c r="A17" i="3" s="1"/>
  <c r="A18" i="3" s="1"/>
  <c r="A19" i="3" s="1"/>
  <c r="A20" i="3" s="1"/>
  <c r="A21" i="3" l="1"/>
  <c r="A22" i="3" s="1"/>
  <c r="A23" i="3" s="1"/>
  <c r="A24" i="3" s="1"/>
  <c r="A39" i="3" l="1"/>
  <c r="A40" i="3" s="1"/>
  <c r="A41" i="3" s="1"/>
  <c r="A52" i="3" l="1"/>
  <c r="A53" i="3" s="1"/>
  <c r="A54" i="3" s="1"/>
  <c r="A55" i="3" s="1"/>
  <c r="A59" i="3"/>
  <c r="A60" i="3" l="1"/>
  <c r="A61" i="3" s="1"/>
  <c r="A66" i="3"/>
  <c r="A67" i="3" l="1"/>
  <c r="A68" i="3" l="1"/>
  <c r="A69" i="3" l="1"/>
  <c r="A71" i="3" l="1"/>
  <c r="A73" i="3" l="1"/>
  <c r="A74" i="3" s="1"/>
  <c r="A79" i="3" l="1"/>
  <c r="A106" i="3" l="1"/>
  <c r="A107" i="3" s="1"/>
  <c r="A108" i="3" s="1"/>
  <c r="A109" i="3" s="1"/>
  <c r="A111" i="3"/>
  <c r="A112" i="3" s="1"/>
  <c r="A113" i="3" l="1"/>
  <c r="A114" i="3" s="1"/>
  <c r="A115" i="3" s="1"/>
  <c r="A116" i="3" s="1"/>
  <c r="A117" i="3" s="1"/>
  <c r="A118" i="3" s="1"/>
  <c r="A119" i="3" s="1"/>
  <c r="A120" i="3"/>
  <c r="A121" i="3"/>
  <c r="A125" i="3"/>
  <c r="A126" i="3" l="1"/>
  <c r="A144" i="3"/>
  <c r="A145" i="3" s="1"/>
  <c r="A146" i="3" s="1"/>
  <c r="A147" i="3" s="1"/>
  <c r="A148" i="3" s="1"/>
  <c r="A149" i="3" s="1"/>
  <c r="A127" i="3" l="1"/>
  <c r="A128" i="3" l="1"/>
  <c r="A153" i="3"/>
  <c r="A129" i="3" l="1"/>
  <c r="A130" i="3" s="1"/>
  <c r="A131" i="3" s="1"/>
  <c r="A132" i="3" s="1"/>
  <c r="A133" i="3" s="1"/>
  <c r="A134" i="3" s="1"/>
  <c r="A161" i="3"/>
  <c r="A152" i="3" l="1"/>
  <c r="A158" i="3" s="1"/>
  <c r="A159" i="3" s="1"/>
  <c r="A160" i="3" s="1"/>
  <c r="A162" i="3" l="1"/>
  <c r="A163" i="3"/>
  <c r="A164" i="3" s="1"/>
  <c r="A168" i="3"/>
  <c r="A169" i="3" s="1"/>
  <c r="A170" i="3" s="1"/>
  <c r="A171" i="3" l="1"/>
  <c r="A172" i="3" s="1"/>
  <c r="A173" i="3" s="1"/>
  <c r="A174" i="3" s="1"/>
  <c r="A175" i="3" s="1"/>
  <c r="A176" i="3"/>
  <c r="A177" i="3" s="1"/>
  <c r="A178" i="3" s="1"/>
  <c r="A179" i="3" s="1"/>
  <c r="A180" i="3" s="1"/>
  <c r="A181" i="3"/>
  <c r="A199" i="3" l="1"/>
  <c r="A200" i="3" s="1"/>
  <c r="A213" i="3"/>
  <c r="A201" i="3" l="1"/>
  <c r="A203" i="3"/>
  <c r="A204" i="3" s="1"/>
  <c r="A218" i="3"/>
  <c r="A219" i="3" s="1"/>
  <c r="A220" i="3" l="1"/>
  <c r="A221" i="3"/>
  <c r="A223" i="3" l="1"/>
  <c r="A224" i="3" l="1"/>
  <c r="A226" i="3" l="1"/>
  <c r="A227" i="3" s="1"/>
  <c r="A228" i="3" s="1"/>
  <c r="A229" i="3" s="1"/>
  <c r="A230" i="3" s="1"/>
  <c r="A231" i="3" l="1"/>
  <c r="A232" i="3" s="1"/>
  <c r="A233" i="3" l="1"/>
  <c r="A234" i="3" s="1"/>
  <c r="A235" i="3" s="1"/>
  <c r="A238" i="3" l="1"/>
  <c r="A239" i="3" s="1"/>
  <c r="A240" i="3" s="1"/>
  <c r="A241" i="3" s="1"/>
  <c r="A212" i="3"/>
  <c r="A155" i="3"/>
  <c r="A156" i="3"/>
  <c r="A157" i="3"/>
  <c r="A143" i="3"/>
  <c r="A150" i="3"/>
  <c r="A151" i="3"/>
  <c r="A57" i="3"/>
  <c r="A58" i="3"/>
  <c r="A43" i="3"/>
  <c r="A44" i="3"/>
  <c r="A45" i="3"/>
  <c r="A46" i="3"/>
  <c r="A47" i="3"/>
  <c r="A48" i="3"/>
  <c r="A49" i="3"/>
  <c r="A50" i="3"/>
  <c r="A51" i="3"/>
  <c r="A32" i="3"/>
  <c r="A33" i="3"/>
  <c r="A34" i="3"/>
  <c r="A35" i="3"/>
  <c r="A36" i="3"/>
  <c r="A37" i="3"/>
  <c r="A38" i="3"/>
  <c r="B56" i="1"/>
  <c r="B57" i="1" s="1"/>
  <c r="B59" i="1" l="1"/>
  <c r="B62" i="1" s="1"/>
  <c r="B58" i="1"/>
  <c r="F31" i="1"/>
  <c r="F41" i="1"/>
  <c r="B47" i="1" s="1"/>
  <c r="B48" i="1" s="1"/>
  <c r="N3" i="3" s="1"/>
  <c r="C94" i="3" l="1"/>
  <c r="C97" i="3"/>
  <c r="C88" i="3"/>
  <c r="C85" i="3"/>
  <c r="A65" i="1"/>
  <c r="C80" i="3"/>
  <c r="C86" i="3"/>
  <c r="C70" i="3"/>
  <c r="C83" i="3"/>
  <c r="C65" i="3"/>
  <c r="C75" i="3"/>
  <c r="I10" i="1"/>
  <c r="M4" i="3"/>
  <c r="C56" i="3"/>
  <c r="C182" i="3" l="1"/>
  <c r="C192" i="3"/>
  <c r="C102" i="3"/>
  <c r="C222" i="3"/>
  <c r="C82" i="3"/>
  <c r="H11" i="1"/>
  <c r="N4" i="3"/>
  <c r="C142" i="3"/>
  <c r="C206" i="3" l="1"/>
  <c r="C209" i="3"/>
  <c r="C214" i="3"/>
  <c r="C216" i="3"/>
  <c r="C205" i="3"/>
  <c r="C215" i="3"/>
  <c r="C190" i="3"/>
  <c r="C195" i="3"/>
  <c r="C103" i="3"/>
  <c r="C101" i="3"/>
  <c r="C92" i="3"/>
  <c r="C11" i="3"/>
  <c r="A11" i="3" s="1"/>
  <c r="C100" i="3"/>
  <c r="C91" i="3"/>
  <c r="C90" i="3"/>
  <c r="C110" i="3"/>
  <c r="C96" i="3"/>
  <c r="C93" i="3"/>
  <c r="C165" i="3"/>
  <c r="C236" i="3"/>
  <c r="I11" i="1"/>
  <c r="C154" i="3"/>
  <c r="M5" i="3"/>
  <c r="H12" i="1" l="1"/>
  <c r="C202" i="3"/>
  <c r="N5" i="3"/>
  <c r="C225" i="3" l="1"/>
  <c r="C25" i="3"/>
  <c r="A25" i="3" s="1"/>
  <c r="A26" i="3" s="1"/>
  <c r="A27" i="3" s="1"/>
  <c r="A28" i="3" s="1"/>
  <c r="A29" i="3" s="1"/>
  <c r="A30" i="3" s="1"/>
  <c r="A31" i="3" s="1"/>
  <c r="I12" i="1"/>
  <c r="N11" i="3"/>
  <c r="J7" i="1" s="1"/>
  <c r="M11" i="3"/>
  <c r="C211" i="3"/>
  <c r="M6" i="3"/>
  <c r="H13" i="1" l="1"/>
  <c r="N6" i="3"/>
  <c r="C242" i="3"/>
  <c r="M2" i="3"/>
  <c r="I13" i="1" l="1"/>
  <c r="M7" i="3"/>
  <c r="J8" i="1"/>
  <c r="C2" i="3"/>
  <c r="F17" i="3"/>
  <c r="A2" i="3" l="1"/>
  <c r="N7" i="3"/>
  <c r="H14" i="1"/>
  <c r="M8" i="3" l="1"/>
  <c r="I14" i="1"/>
  <c r="A42" i="3"/>
  <c r="E20" i="3"/>
  <c r="F20" i="3"/>
  <c r="A56" i="3"/>
  <c r="A65" i="3" s="1"/>
  <c r="A62" i="3" l="1"/>
  <c r="A70" i="3"/>
  <c r="A75" i="3"/>
  <c r="A76" i="3" s="1"/>
  <c r="A77" i="3" s="1"/>
  <c r="A78" i="3" s="1"/>
  <c r="A142" i="3"/>
  <c r="A154" i="3" s="1"/>
  <c r="A165" i="3" s="1"/>
  <c r="A166" i="3" s="1"/>
  <c r="A167" i="3" s="1"/>
  <c r="G20" i="3"/>
  <c r="H20" i="3"/>
  <c r="H15" i="1"/>
  <c r="N8" i="3"/>
  <c r="A63" i="3" l="1"/>
  <c r="I15" i="1"/>
  <c r="M9" i="3"/>
  <c r="A211" i="3"/>
  <c r="A64" i="3" l="1"/>
  <c r="A222" i="3"/>
  <c r="A225" i="3"/>
  <c r="N9" i="3"/>
  <c r="H16" i="1"/>
  <c r="A72" i="3" l="1"/>
  <c r="A80" i="3"/>
  <c r="A81" i="3"/>
  <c r="A96" i="3"/>
  <c r="A236" i="3"/>
  <c r="A237" i="3" s="1"/>
  <c r="M10" i="3"/>
  <c r="I16" i="1"/>
  <c r="A82" i="3" l="1"/>
  <c r="A102" i="3"/>
  <c r="H17" i="1"/>
  <c r="N10" i="3"/>
  <c r="I17" i="1" s="1"/>
  <c r="A83" i="3" l="1"/>
  <c r="A86" i="3"/>
  <c r="A87" i="3" s="1"/>
  <c r="A88" i="3" s="1"/>
  <c r="A89" i="3" s="1"/>
  <c r="A110" i="3"/>
  <c r="A84" i="3" l="1"/>
  <c r="A85" i="3" l="1"/>
  <c r="A90" i="3" s="1"/>
  <c r="A91" i="3" l="1"/>
  <c r="A92" i="3"/>
  <c r="A93" i="3" l="1"/>
  <c r="A100" i="3"/>
  <c r="A95" i="3" l="1"/>
  <c r="A97" i="3" s="1"/>
  <c r="A98" i="3" s="1"/>
  <c r="A99" i="3" s="1"/>
  <c r="A94" i="3"/>
  <c r="A101" i="3"/>
  <c r="A103" i="3" s="1"/>
  <c r="A104" i="3" s="1"/>
  <c r="A105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E22" i="3" l="1"/>
  <c r="H22" i="3" s="1"/>
  <c r="A122" i="3"/>
  <c r="A123" i="3" s="1"/>
  <c r="A124" i="3" s="1"/>
  <c r="A135" i="3" s="1"/>
  <c r="A136" i="3" s="1"/>
  <c r="A137" i="3" s="1"/>
  <c r="A138" i="3" s="1"/>
  <c r="A139" i="3" s="1"/>
  <c r="A140" i="3" s="1"/>
  <c r="A141" i="3" s="1"/>
  <c r="F22" i="3"/>
  <c r="A195" i="3"/>
  <c r="A196" i="3" s="1"/>
  <c r="A197" i="3" s="1"/>
  <c r="A198" i="3" s="1"/>
  <c r="A192" i="3" l="1"/>
  <c r="A193" i="3" s="1"/>
  <c r="A194" i="3" s="1"/>
  <c r="G22" i="3"/>
  <c r="A202" i="3"/>
  <c r="I22" i="3"/>
  <c r="A205" i="3"/>
  <c r="A206" i="3" s="1"/>
  <c r="A207" i="3" s="1"/>
  <c r="A208" i="3" s="1"/>
  <c r="A209" i="3" s="1"/>
  <c r="A210" i="3" s="1"/>
  <c r="E23" i="3" l="1"/>
  <c r="G23" i="3" s="1"/>
  <c r="A214" i="3"/>
  <c r="F23" i="3"/>
  <c r="I23" i="3" s="1"/>
  <c r="A215" i="3"/>
  <c r="A216" i="3" s="1"/>
  <c r="A217" i="3" s="1"/>
  <c r="H23" i="3"/>
  <c r="E24" i="3" l="1"/>
  <c r="I24" i="3" s="1"/>
  <c r="F24" i="3"/>
  <c r="A242" i="3"/>
  <c r="E30" i="3" s="1"/>
  <c r="F21" i="3"/>
  <c r="E21" i="3"/>
  <c r="E35" i="3"/>
  <c r="E32" i="3"/>
  <c r="F26" i="3" l="1"/>
  <c r="H24" i="3"/>
  <c r="F31" i="3"/>
  <c r="E29" i="3"/>
  <c r="G29" i="3" s="1"/>
  <c r="E26" i="3"/>
  <c r="G26" i="3" s="1"/>
  <c r="G24" i="3"/>
  <c r="F30" i="3"/>
  <c r="F28" i="3"/>
  <c r="F27" i="3"/>
  <c r="F25" i="3"/>
  <c r="E27" i="3"/>
  <c r="G27" i="3" s="1"/>
  <c r="F35" i="3"/>
  <c r="E25" i="3"/>
  <c r="I25" i="3" s="1"/>
  <c r="F32" i="3"/>
  <c r="F34" i="3"/>
  <c r="E34" i="3"/>
  <c r="G34" i="3" s="1"/>
  <c r="E31" i="3"/>
  <c r="F33" i="3"/>
  <c r="E28" i="3"/>
  <c r="G28" i="3" s="1"/>
  <c r="E33" i="3"/>
  <c r="I33" i="3" s="1"/>
  <c r="F29" i="3"/>
  <c r="G21" i="3"/>
  <c r="H21" i="3"/>
  <c r="I21" i="3"/>
  <c r="G30" i="3"/>
  <c r="H30" i="3"/>
  <c r="I30" i="3"/>
  <c r="G32" i="3"/>
  <c r="I32" i="3"/>
  <c r="H32" i="3"/>
  <c r="G35" i="3"/>
  <c r="I35" i="3"/>
  <c r="H35" i="3"/>
  <c r="H25" i="3" l="1"/>
  <c r="I26" i="3"/>
  <c r="I34" i="3"/>
  <c r="H34" i="3"/>
  <c r="G33" i="3"/>
  <c r="I29" i="3"/>
  <c r="H29" i="3"/>
  <c r="H33" i="3"/>
  <c r="H26" i="3"/>
  <c r="I28" i="3"/>
  <c r="G25" i="3"/>
  <c r="I27" i="3"/>
  <c r="H27" i="3"/>
  <c r="H28" i="3"/>
  <c r="G31" i="3"/>
  <c r="I31" i="3"/>
  <c r="H31" i="3"/>
</calcChain>
</file>

<file path=xl/comments1.xml><?xml version="1.0" encoding="utf-8"?>
<comments xmlns="http://schemas.openxmlformats.org/spreadsheetml/2006/main">
  <authors>
    <author>user</author>
  </authors>
  <commentList>
    <comment ref="A9" authorId="0">
      <text>
        <r>
          <rPr>
            <b/>
            <sz val="9"/>
            <color indexed="81"/>
            <rFont val="Tahoma"/>
            <family val="2"/>
            <charset val="204"/>
          </rPr>
          <t>Проверьте систему на минимуме (в межсезонье) и максимуме (в крещенские морозы)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Заносить значение придется вручную или макросом. Идут циклические ссылки
</t>
        </r>
      </text>
    </comment>
    <comment ref="G11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Приплюсовать несгоревщее с предыдущей закладки
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учитывать остатки от предыдущей закладки при расчете времени  и температуры
 начала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16" authorId="0">
      <text>
        <r>
          <rPr>
            <b/>
            <sz val="9"/>
            <color indexed="81"/>
            <rFont val="Tahoma"/>
            <family val="2"/>
            <charset val="204"/>
          </rPr>
          <t>Та мощность, с которой будет сжигаться закладка дров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17" authorId="0">
      <text>
        <r>
          <rPr>
            <b/>
            <sz val="9"/>
            <color indexed="81"/>
            <rFont val="Tahoma"/>
            <family val="2"/>
            <charset val="204"/>
          </rPr>
          <t>Сколько тепла попадет в дом, учитывая тело вылетевшее в трубу, химнедожег, потери в котельной и т.д.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Заносить значение придется вручную или макросом. Идут циклические ссылки
</t>
        </r>
      </text>
    </comment>
    <comment ref="L4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Приплюсовать несгоревщее с предыдущей закладки
</t>
        </r>
      </text>
    </comment>
    <comment ref="M4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учитывать остатки от предыдущей закладки при расчете времени  и температуры
 начала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<sst xmlns="http://schemas.openxmlformats.org/spreadsheetml/2006/main" count="123" uniqueCount="110">
  <si>
    <t>Теплоемкость воды, кВтч</t>
  </si>
  <si>
    <t>Теплоемкость кирпича, кВтч</t>
  </si>
  <si>
    <t>Температура ТА, мин</t>
  </si>
  <si>
    <t>Температура ТА, макс</t>
  </si>
  <si>
    <t>Площадь стенки, м2</t>
  </si>
  <si>
    <t>Масса пустого бака, кг</t>
  </si>
  <si>
    <t>Масса (объем) теплоносителя, (л) кг</t>
  </si>
  <si>
    <t xml:space="preserve">Теплотворность одного кг дров, кВт/ч </t>
  </si>
  <si>
    <t>Длина ТА, см</t>
  </si>
  <si>
    <t>Ширина ТА, см</t>
  </si>
  <si>
    <t>Высота ТА, см</t>
  </si>
  <si>
    <t>Теплопотери дома, кВт/час</t>
  </si>
  <si>
    <t>Вместимость (масса) полной закладки для данного котла, кг.</t>
  </si>
  <si>
    <t>КПД системы отопления, %</t>
  </si>
  <si>
    <t>Необходимое количество дров в сутки при данных теплопотерях и КПД системы, кг</t>
  </si>
  <si>
    <t>Емкость ТА, л</t>
  </si>
  <si>
    <t>Время разрядки ТА при работающей СО, часов</t>
  </si>
  <si>
    <t>Мощность котла, кВт/час</t>
  </si>
  <si>
    <t>Необходимое количество тепла в сутки при данных теплопотерях, кВт</t>
  </si>
  <si>
    <t>Время зарядки ТА котлом при работающей СО, часов</t>
  </si>
  <si>
    <t xml:space="preserve">Количество закладок за сутки для восполнения теплопотерь </t>
  </si>
  <si>
    <t>Время горения полной закладки, часов</t>
  </si>
  <si>
    <t>Необходимая площадь теплосъема, м2</t>
  </si>
  <si>
    <t>Общая протяженность трубы ТО, м</t>
  </si>
  <si>
    <t>Диаметр трубы ТО, мм</t>
  </si>
  <si>
    <t>Съем тепла с одного м2 ТО</t>
  </si>
  <si>
    <t>Минимальная мощность котла для сжигания полной закладки за час</t>
  </si>
  <si>
    <t>Суммарное время топки котла в сутки для восполнения теплопотерь, час</t>
  </si>
  <si>
    <t>Плотность металла, кг/м3</t>
  </si>
  <si>
    <t>Толщина стенки ТА, мм</t>
  </si>
  <si>
    <t>1л / 1градус= 4,2кДж=0.0011666666666667 kWh</t>
  </si>
  <si>
    <t xml:space="preserve">Масса дров для нагрева ТА от минимальной температуры до максимальной при работающей СО, кг </t>
  </si>
  <si>
    <t>Коссвенный водонагреватель</t>
  </si>
  <si>
    <t>http://stroy-shkola.ru/vodosnab_otopl/boyler-kosvennogo-nagreva-svoimi-rukami.html</t>
  </si>
  <si>
    <t>Расчет длины трубы для бойлера</t>
  </si>
  <si>
    <t>Р-мощность змеевика, кВт</t>
  </si>
  <si>
    <t>d -диаметр трубы</t>
  </si>
  <si>
    <t>/\Т - разность темп.теплоносителя и воды бака</t>
  </si>
  <si>
    <t>Площадь</t>
  </si>
  <si>
    <t>L - дляина трубы</t>
  </si>
  <si>
    <t>ГВС</t>
  </si>
  <si>
    <t xml:space="preserve">Отопление черной трубой </t>
  </si>
  <si>
    <t>Водотрубный теплообменник котла</t>
  </si>
  <si>
    <t>Пожелания к ТА и котлу</t>
  </si>
  <si>
    <t xml:space="preserve"> часов запаса тепла</t>
  </si>
  <si>
    <t>Закладок дров при каждой топке</t>
  </si>
  <si>
    <t>Указываем характеристики котла и ТА</t>
  </si>
  <si>
    <t>Хочу топить не более чем, Раз в сутки</t>
  </si>
  <si>
    <t>на</t>
  </si>
  <si>
    <t>Необходимая вместимость топки, кг дров</t>
  </si>
  <si>
    <t xml:space="preserve"> </t>
  </si>
  <si>
    <t>Режим топки на Вашем котле и ТА</t>
  </si>
  <si>
    <t>Необходимый объем ТА (л)</t>
  </si>
  <si>
    <t>час суток</t>
  </si>
  <si>
    <t>Закдадка</t>
  </si>
  <si>
    <t>Температура ТА</t>
  </si>
  <si>
    <t>Закладка, кг</t>
  </si>
  <si>
    <t>Температура ТА, нач.топки</t>
  </si>
  <si>
    <t>Температура ТА, конец топки</t>
  </si>
  <si>
    <t>Темп. мин</t>
  </si>
  <si>
    <t>Темп. Мах</t>
  </si>
  <si>
    <t>Время начала горения закладки</t>
  </si>
  <si>
    <t>Время конца горения закладки</t>
  </si>
  <si>
    <t>Мощность горения котла, кВт/час</t>
  </si>
  <si>
    <t>Теплопотери дома за время горения закладки</t>
  </si>
  <si>
    <t>тепла ушло из ТА за время между топками</t>
  </si>
  <si>
    <t>тепла пришло в ТА  за время топки с учетом расхода СО</t>
  </si>
  <si>
    <t>№</t>
  </si>
  <si>
    <t>часы суток</t>
  </si>
  <si>
    <t>Температура ТА в 24 часа</t>
  </si>
  <si>
    <t>Температура ТА в 0 часа</t>
  </si>
  <si>
    <t>Утро, когда ТА разрядится до минимума</t>
  </si>
  <si>
    <t>Темп. ТА при первой утренней топке (внесите вручную в поле "Температура ТА)</t>
  </si>
  <si>
    <t>Между закладками</t>
  </si>
  <si>
    <t>Метка закладки</t>
  </si>
  <si>
    <t>Расчет емкости кирпичного тепло аккумулятора</t>
  </si>
  <si>
    <t>Температурная зона</t>
  </si>
  <si>
    <t>Масса</t>
  </si>
  <si>
    <t>Шамотное ядро</t>
  </si>
  <si>
    <t>Водяной эквивалент, л</t>
  </si>
  <si>
    <t>Запас теппла, кВт</t>
  </si>
  <si>
    <t>Верхний колпак</t>
  </si>
  <si>
    <t>Опускные каналы, верх</t>
  </si>
  <si>
    <t>Опускные каналы, средняя часть</t>
  </si>
  <si>
    <t>Опускные каналы, низ</t>
  </si>
  <si>
    <t>Стенка печи</t>
  </si>
  <si>
    <t>Запас энергии ВТА, кВт</t>
  </si>
  <si>
    <t>Запас энергии КТА, кВт</t>
  </si>
  <si>
    <t>Общий запас энергии ВТА+КТА, кВт</t>
  </si>
  <si>
    <t>Всего</t>
  </si>
  <si>
    <t>Водяной эквивалент КТА,  (л) кг</t>
  </si>
  <si>
    <t>Общая масса двух ТА в водяном эквиваленте</t>
  </si>
  <si>
    <t>Т мин.</t>
  </si>
  <si>
    <t>Т макс.</t>
  </si>
  <si>
    <t>Температурная зона 7</t>
  </si>
  <si>
    <t>Температурная зона 8</t>
  </si>
  <si>
    <t>Температурная зона 9</t>
  </si>
  <si>
    <t>Температурная зона 10</t>
  </si>
  <si>
    <t>Масса пустого бака и объем воды в вашем водяном ТА</t>
  </si>
  <si>
    <t>Расчет мощности регистра котла</t>
  </si>
  <si>
    <t>http://forum.stovemaster.ru/viewtopic.php?t=5241</t>
  </si>
  <si>
    <t>Площадь регистра, м2</t>
  </si>
  <si>
    <t>Мощность регистра, кВт/час</t>
  </si>
  <si>
    <t>Температура воды регистра (средняя)</t>
  </si>
  <si>
    <t>теплопотери, вт = (площадь, м2 /Сопротивление теплопередаче ограждения R, u2*C/Вт)*разность температуры</t>
  </si>
  <si>
    <t>Теплоемкость Водяного ТА, кВт/ч</t>
  </si>
  <si>
    <t>Теплоемкость Кирпичного ТА, кВт/ч</t>
  </si>
  <si>
    <t xml:space="preserve">Конец процесса </t>
  </si>
  <si>
    <t>Начало процесса Т.обмена</t>
  </si>
  <si>
    <t>Температура газов протопленной печи (средняя)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</si>
</sst>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[$-F400]h:mm:ss\ AM/PM"/>
    <numFmt numFmtId="166" formatCode="_(* #,##0.00_);_(* \(#,##0.00\);_(* &quot;-&quot;??_);_(@_)"/>
    <numFmt numFmtId="167" formatCode="0.000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rgb="FF222222"/>
      <name val="Verdana"/>
      <family val="2"/>
      <charset val="204"/>
    </font>
    <font>
      <sz val="9"/>
      <name val="Arial"/>
      <family val="2"/>
      <charset val="204"/>
    </font>
    <font>
      <sz val="8"/>
      <color rgb="FF000000"/>
      <name val="Verdana"/>
      <family val="2"/>
      <charset val="204"/>
    </font>
    <font>
      <sz val="6"/>
      <color rgb="FF000000"/>
      <name val="Verdana"/>
      <family val="2"/>
      <charset val="204"/>
    </font>
    <font>
      <sz val="5"/>
      <color rgb="FF000000"/>
      <name val="Verdana"/>
      <family val="2"/>
      <charset val="204"/>
    </font>
    <font>
      <b/>
      <sz val="12"/>
      <color rgb="FF00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9.6"/>
      <color theme="10"/>
      <name val="Arial Cyr"/>
      <family val="2"/>
      <charset val="204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 Cyr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165" fontId="1" fillId="0" borderId="0"/>
    <xf numFmtId="165" fontId="5" fillId="5" borderId="0">
      <alignment horizontal="left" vertical="top"/>
    </xf>
    <xf numFmtId="165" fontId="5" fillId="5" borderId="0">
      <alignment horizontal="left" vertical="top"/>
    </xf>
    <xf numFmtId="165" fontId="5" fillId="5" borderId="0">
      <alignment horizontal="center" vertical="center"/>
    </xf>
    <xf numFmtId="165" fontId="5" fillId="5" borderId="0">
      <alignment horizontal="center" vertical="center"/>
    </xf>
    <xf numFmtId="165" fontId="5" fillId="5" borderId="0">
      <alignment horizontal="center" vertical="center"/>
    </xf>
    <xf numFmtId="165" fontId="5" fillId="5" borderId="0">
      <alignment horizontal="center" vertical="center"/>
    </xf>
    <xf numFmtId="165" fontId="5" fillId="5" borderId="0">
      <alignment horizontal="center" vertical="center"/>
    </xf>
    <xf numFmtId="165" fontId="5" fillId="5" borderId="0">
      <alignment horizontal="right" vertical="center"/>
    </xf>
    <xf numFmtId="165" fontId="5" fillId="5" borderId="0">
      <alignment horizontal="left" vertical="center"/>
    </xf>
    <xf numFmtId="165" fontId="5" fillId="5" borderId="0">
      <alignment horizontal="left" vertical="center"/>
    </xf>
    <xf numFmtId="165" fontId="6" fillId="5" borderId="0">
      <alignment horizontal="center" vertical="top"/>
    </xf>
    <xf numFmtId="165" fontId="5" fillId="5" borderId="0">
      <alignment horizontal="right" vertical="center"/>
    </xf>
    <xf numFmtId="165" fontId="5" fillId="5" borderId="0">
      <alignment horizontal="left" vertical="top"/>
    </xf>
    <xf numFmtId="165" fontId="5" fillId="5" borderId="0">
      <alignment horizontal="right" vertical="center"/>
    </xf>
    <xf numFmtId="165" fontId="5" fillId="5" borderId="0">
      <alignment horizontal="left" vertical="center"/>
    </xf>
    <xf numFmtId="165" fontId="5" fillId="5" borderId="0">
      <alignment horizontal="center" vertical="center"/>
    </xf>
    <xf numFmtId="165" fontId="7" fillId="5" borderId="0">
      <alignment horizontal="center" vertical="center"/>
    </xf>
    <xf numFmtId="165" fontId="7" fillId="5" borderId="0">
      <alignment horizontal="center" vertical="center"/>
    </xf>
    <xf numFmtId="165" fontId="5" fillId="5" borderId="0">
      <alignment horizontal="center" vertical="center"/>
    </xf>
    <xf numFmtId="165" fontId="5" fillId="5" borderId="0">
      <alignment horizontal="right" vertical="center"/>
    </xf>
    <xf numFmtId="165" fontId="5" fillId="5" borderId="0">
      <alignment horizontal="center" vertical="center"/>
    </xf>
    <xf numFmtId="165" fontId="5" fillId="5" borderId="0">
      <alignment horizontal="left" vertical="top"/>
    </xf>
    <xf numFmtId="165" fontId="8" fillId="5" borderId="0">
      <alignment horizontal="left" vertical="center"/>
    </xf>
    <xf numFmtId="165" fontId="6" fillId="5" borderId="0">
      <alignment horizontal="right" vertical="top"/>
    </xf>
    <xf numFmtId="165" fontId="5" fillId="5" borderId="0">
      <alignment horizontal="center" vertical="top"/>
    </xf>
    <xf numFmtId="165" fontId="5" fillId="5" borderId="0">
      <alignment horizontal="center" vertical="top"/>
    </xf>
    <xf numFmtId="165" fontId="5" fillId="5" borderId="0">
      <alignment horizontal="center" vertical="top"/>
    </xf>
    <xf numFmtId="165" fontId="5" fillId="5" borderId="0">
      <alignment horizontal="center" vertical="top"/>
    </xf>
    <xf numFmtId="165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5" fontId="10" fillId="0" borderId="0" applyNumberFormat="0" applyFill="0" applyBorder="0" applyAlignment="0" applyProtection="0">
      <alignment vertical="top"/>
      <protection locked="0"/>
    </xf>
    <xf numFmtId="0" fontId="11" fillId="0" borderId="0"/>
    <xf numFmtId="165" fontId="1" fillId="0" borderId="0"/>
    <xf numFmtId="0" fontId="1" fillId="0" borderId="0"/>
    <xf numFmtId="165" fontId="12" fillId="0" borderId="0"/>
    <xf numFmtId="0" fontId="12" fillId="0" borderId="0"/>
    <xf numFmtId="165" fontId="13" fillId="0" borderId="0"/>
    <xf numFmtId="0" fontId="13" fillId="0" borderId="0"/>
    <xf numFmtId="165" fontId="14" fillId="0" borderId="0">
      <alignment horizontal="left"/>
    </xf>
    <xf numFmtId="0" fontId="14" fillId="0" borderId="0">
      <alignment horizontal="left"/>
    </xf>
    <xf numFmtId="0" fontId="1" fillId="0" borderId="0"/>
    <xf numFmtId="165" fontId="15" fillId="0" borderId="0"/>
    <xf numFmtId="165" fontId="1" fillId="0" borderId="0"/>
    <xf numFmtId="166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36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1" xfId="0" applyFill="1" applyBorder="1"/>
    <xf numFmtId="164" fontId="2" fillId="8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wrapText="1"/>
    </xf>
    <xf numFmtId="0" fontId="11" fillId="0" borderId="0" xfId="33"/>
    <xf numFmtId="0" fontId="11" fillId="3" borderId="3" xfId="33" applyFill="1" applyBorder="1"/>
    <xf numFmtId="0" fontId="11" fillId="3" borderId="1" xfId="33" applyFill="1" applyBorder="1"/>
    <xf numFmtId="0" fontId="11" fillId="0" borderId="1" xfId="33" applyBorder="1"/>
    <xf numFmtId="164" fontId="11" fillId="8" borderId="1" xfId="33" applyNumberFormat="1" applyFill="1" applyBorder="1" applyAlignment="1">
      <alignment horizontal="center"/>
    </xf>
    <xf numFmtId="0" fontId="11" fillId="3" borderId="4" xfId="33" applyFill="1" applyBorder="1" applyAlignment="1">
      <alignment horizontal="center"/>
    </xf>
    <xf numFmtId="0" fontId="0" fillId="0" borderId="3" xfId="0" applyBorder="1"/>
    <xf numFmtId="0" fontId="2" fillId="0" borderId="4" xfId="0" applyFont="1" applyBorder="1"/>
    <xf numFmtId="0" fontId="0" fillId="0" borderId="12" xfId="0" applyBorder="1"/>
    <xf numFmtId="0" fontId="2" fillId="0" borderId="14" xfId="0" applyFont="1" applyBorder="1"/>
    <xf numFmtId="0" fontId="0" fillId="0" borderId="13" xfId="0" applyBorder="1"/>
    <xf numFmtId="164" fontId="0" fillId="0" borderId="0" xfId="0" applyNumberFormat="1"/>
    <xf numFmtId="0" fontId="17" fillId="3" borderId="11" xfId="0" applyFont="1" applyFill="1" applyBorder="1" applyAlignment="1">
      <alignment horizontal="center"/>
    </xf>
    <xf numFmtId="0" fontId="0" fillId="9" borderId="10" xfId="0" applyFill="1" applyBorder="1" applyAlignment="1">
      <alignment horizontal="center" wrapText="1"/>
    </xf>
    <xf numFmtId="0" fontId="0" fillId="9" borderId="11" xfId="0" applyFill="1" applyBorder="1" applyAlignment="1">
      <alignment horizontal="center" wrapText="1"/>
    </xf>
    <xf numFmtId="0" fontId="17" fillId="3" borderId="10" xfId="0" applyFont="1" applyFill="1" applyBorder="1" applyAlignment="1">
      <alignment horizontal="center" wrapText="1"/>
    </xf>
    <xf numFmtId="0" fontId="17" fillId="3" borderId="11" xfId="0" applyFont="1" applyFill="1" applyBorder="1" applyAlignment="1">
      <alignment horizontal="center" wrapText="1"/>
    </xf>
    <xf numFmtId="0" fontId="0" fillId="7" borderId="1" xfId="0" applyFill="1" applyBorder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9" fontId="0" fillId="7" borderId="1" xfId="0" applyNumberFormat="1" applyFill="1" applyBorder="1" applyAlignment="1" applyProtection="1">
      <alignment horizontal="center"/>
      <protection locked="0"/>
    </xf>
    <xf numFmtId="0" fontId="4" fillId="0" borderId="14" xfId="0" applyFont="1" applyBorder="1" applyProtection="1">
      <protection locked="0"/>
    </xf>
    <xf numFmtId="0" fontId="2" fillId="0" borderId="15" xfId="0" applyFont="1" applyBorder="1" applyProtection="1">
      <protection locked="0"/>
    </xf>
    <xf numFmtId="0" fontId="0" fillId="2" borderId="9" xfId="0" applyFill="1" applyBorder="1" applyAlignment="1"/>
    <xf numFmtId="164" fontId="0" fillId="8" borderId="1" xfId="0" applyNumberFormat="1" applyFill="1" applyBorder="1"/>
    <xf numFmtId="0" fontId="0" fillId="8" borderId="5" xfId="0" applyFill="1" applyBorder="1"/>
    <xf numFmtId="0" fontId="0" fillId="8" borderId="6" xfId="0" applyFill="1" applyBorder="1"/>
    <xf numFmtId="1" fontId="0" fillId="8" borderId="8" xfId="0" applyNumberFormat="1" applyFill="1" applyBorder="1"/>
    <xf numFmtId="0" fontId="0" fillId="0" borderId="1" xfId="0" applyFont="1" applyBorder="1" applyAlignment="1">
      <alignment horizontal="left" vertical="center" wrapText="1"/>
    </xf>
    <xf numFmtId="0" fontId="18" fillId="7" borderId="1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 vertical="top"/>
      <protection locked="0"/>
    </xf>
    <xf numFmtId="0" fontId="19" fillId="8" borderId="1" xfId="0" applyFont="1" applyFill="1" applyBorder="1" applyAlignment="1">
      <alignment horizontal="center" vertical="center"/>
    </xf>
    <xf numFmtId="164" fontId="16" fillId="8" borderId="1" xfId="0" applyNumberFormat="1" applyFont="1" applyFill="1" applyBorder="1" applyAlignment="1">
      <alignment horizontal="center" vertical="center"/>
    </xf>
    <xf numFmtId="164" fontId="19" fillId="8" borderId="1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17" fillId="3" borderId="1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0" fillId="8" borderId="0" xfId="0" applyFill="1"/>
    <xf numFmtId="167" fontId="2" fillId="8" borderId="1" xfId="0" applyNumberFormat="1" applyFont="1" applyFill="1" applyBorder="1" applyAlignment="1">
      <alignment horizontal="center" vertical="center"/>
    </xf>
    <xf numFmtId="0" fontId="0" fillId="8" borderId="1" xfId="0" applyFill="1" applyBorder="1"/>
    <xf numFmtId="164" fontId="0" fillId="8" borderId="1" xfId="0" applyNumberFormat="1" applyFill="1" applyBorder="1" applyAlignment="1">
      <alignment horizontal="center" vertical="center"/>
    </xf>
    <xf numFmtId="0" fontId="0" fillId="0" borderId="16" xfId="0" applyBorder="1"/>
    <xf numFmtId="0" fontId="0" fillId="0" borderId="25" xfId="0" applyBorder="1" applyAlignment="1">
      <alignment wrapText="1"/>
    </xf>
    <xf numFmtId="164" fontId="0" fillId="0" borderId="12" xfId="0" applyNumberFormat="1" applyBorder="1"/>
    <xf numFmtId="164" fontId="0" fillId="0" borderId="0" xfId="0" applyNumberFormat="1" applyBorder="1"/>
    <xf numFmtId="0" fontId="0" fillId="0" borderId="0" xfId="0" applyBorder="1"/>
    <xf numFmtId="0" fontId="0" fillId="0" borderId="14" xfId="0" applyBorder="1"/>
    <xf numFmtId="0" fontId="0" fillId="0" borderId="26" xfId="0" applyBorder="1"/>
    <xf numFmtId="0" fontId="0" fillId="0" borderId="15" xfId="0" applyBorder="1"/>
    <xf numFmtId="164" fontId="0" fillId="0" borderId="0" xfId="0" applyNumberFormat="1" applyFill="1"/>
    <xf numFmtId="164" fontId="0" fillId="6" borderId="0" xfId="0" applyNumberFormat="1" applyFill="1"/>
    <xf numFmtId="0" fontId="0" fillId="12" borderId="0" xfId="0" applyFill="1"/>
    <xf numFmtId="164" fontId="0" fillId="12" borderId="0" xfId="0" applyNumberFormat="1" applyFill="1"/>
    <xf numFmtId="2" fontId="0" fillId="0" borderId="15" xfId="0" applyNumberFormat="1" applyFill="1" applyBorder="1"/>
    <xf numFmtId="0" fontId="0" fillId="0" borderId="29" xfId="0" applyBorder="1"/>
    <xf numFmtId="2" fontId="0" fillId="10" borderId="28" xfId="0" applyNumberFormat="1" applyFill="1" applyBorder="1"/>
    <xf numFmtId="0" fontId="0" fillId="0" borderId="30" xfId="0" applyBorder="1"/>
    <xf numFmtId="2" fontId="0" fillId="10" borderId="1" xfId="0" applyNumberFormat="1" applyFill="1" applyBorder="1"/>
    <xf numFmtId="0" fontId="0" fillId="0" borderId="31" xfId="0" applyBorder="1"/>
    <xf numFmtId="2" fontId="0" fillId="10" borderId="32" xfId="0" applyNumberFormat="1" applyFill="1" applyBorder="1"/>
    <xf numFmtId="0" fontId="0" fillId="11" borderId="1" xfId="0" applyFill="1" applyBorder="1"/>
    <xf numFmtId="164" fontId="0" fillId="6" borderId="1" xfId="0" applyNumberFormat="1" applyFill="1" applyBorder="1"/>
    <xf numFmtId="1" fontId="0" fillId="8" borderId="1" xfId="0" applyNumberFormat="1" applyFill="1" applyBorder="1"/>
    <xf numFmtId="0" fontId="0" fillId="3" borderId="1" xfId="0" applyFill="1" applyBorder="1" applyAlignment="1">
      <alignment horizontal="center" vertical="center" wrapText="1"/>
    </xf>
    <xf numFmtId="0" fontId="0" fillId="9" borderId="3" xfId="0" applyFill="1" applyBorder="1" applyAlignment="1">
      <alignment wrapText="1"/>
    </xf>
    <xf numFmtId="0" fontId="0" fillId="9" borderId="25" xfId="0" applyFill="1" applyBorder="1" applyAlignment="1">
      <alignment wrapText="1"/>
    </xf>
    <xf numFmtId="2" fontId="0" fillId="8" borderId="1" xfId="0" applyNumberFormat="1" applyFill="1" applyBorder="1"/>
    <xf numFmtId="0" fontId="0" fillId="8" borderId="1" xfId="0" applyNumberFormat="1" applyFill="1" applyBorder="1"/>
    <xf numFmtId="0" fontId="0" fillId="3" borderId="34" xfId="0" applyFill="1" applyBorder="1" applyAlignment="1">
      <alignment horizontal="center" vertical="center" wrapText="1"/>
    </xf>
    <xf numFmtId="1" fontId="0" fillId="10" borderId="1" xfId="0" applyNumberFormat="1" applyFill="1" applyBorder="1"/>
    <xf numFmtId="167" fontId="0" fillId="8" borderId="14" xfId="0" applyNumberFormat="1" applyFill="1" applyBorder="1"/>
    <xf numFmtId="167" fontId="0" fillId="12" borderId="14" xfId="0" applyNumberFormat="1" applyFill="1" applyBorder="1"/>
    <xf numFmtId="0" fontId="0" fillId="8" borderId="19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164" fontId="0" fillId="11" borderId="13" xfId="0" applyNumberFormat="1" applyFill="1" applyBorder="1"/>
    <xf numFmtId="164" fontId="0" fillId="13" borderId="1" xfId="0" applyNumberFormat="1" applyFill="1" applyBorder="1"/>
    <xf numFmtId="0" fontId="0" fillId="0" borderId="35" xfId="0" applyBorder="1"/>
    <xf numFmtId="0" fontId="2" fillId="3" borderId="1" xfId="0" applyFont="1" applyFill="1" applyBorder="1"/>
    <xf numFmtId="0" fontId="2" fillId="16" borderId="35" xfId="0" applyFont="1" applyFill="1" applyBorder="1" applyAlignment="1">
      <alignment horizontal="center" vertical="center"/>
    </xf>
    <xf numFmtId="1" fontId="0" fillId="16" borderId="1" xfId="0" applyNumberFormat="1" applyFill="1" applyBorder="1"/>
    <xf numFmtId="0" fontId="0" fillId="16" borderId="1" xfId="0" applyFill="1" applyBorder="1"/>
    <xf numFmtId="0" fontId="0" fillId="0" borderId="34" xfId="0" applyFill="1" applyBorder="1"/>
    <xf numFmtId="0" fontId="0" fillId="0" borderId="27" xfId="0" applyFill="1" applyBorder="1"/>
    <xf numFmtId="0" fontId="2" fillId="0" borderId="17" xfId="0" applyFont="1" applyBorder="1"/>
    <xf numFmtId="0" fontId="0" fillId="0" borderId="17" xfId="0" applyBorder="1"/>
    <xf numFmtId="1" fontId="0" fillId="0" borderId="17" xfId="0" applyNumberFormat="1" applyBorder="1"/>
    <xf numFmtId="1" fontId="0" fillId="0" borderId="18" xfId="0" applyNumberFormat="1" applyBorder="1"/>
    <xf numFmtId="1" fontId="2" fillId="8" borderId="1" xfId="0" applyNumberFormat="1" applyFont="1" applyFill="1" applyBorder="1" applyAlignment="1">
      <alignment horizontal="center" vertical="center"/>
    </xf>
    <xf numFmtId="1" fontId="0" fillId="8" borderId="0" xfId="0" applyNumberFormat="1" applyFill="1"/>
    <xf numFmtId="164" fontId="0" fillId="4" borderId="28" xfId="0" applyNumberFormat="1" applyFill="1" applyBorder="1"/>
    <xf numFmtId="164" fontId="0" fillId="8" borderId="33" xfId="0" applyNumberFormat="1" applyFill="1" applyBorder="1" applyAlignment="1">
      <alignment horizontal="center" vertical="center"/>
    </xf>
    <xf numFmtId="164" fontId="0" fillId="11" borderId="24" xfId="0" applyNumberFormat="1" applyFill="1" applyBorder="1" applyAlignment="1">
      <alignment horizontal="center" vertical="center"/>
    </xf>
    <xf numFmtId="0" fontId="9" fillId="0" borderId="0" xfId="46"/>
    <xf numFmtId="0" fontId="0" fillId="10" borderId="1" xfId="0" applyFill="1" applyBorder="1"/>
    <xf numFmtId="0" fontId="22" fillId="16" borderId="1" xfId="0" applyFont="1" applyFill="1" applyBorder="1"/>
    <xf numFmtId="0" fontId="22" fillId="8" borderId="1" xfId="0" applyFont="1" applyFill="1" applyBorder="1"/>
    <xf numFmtId="0" fontId="23" fillId="0" borderId="0" xfId="0" applyFont="1" applyAlignment="1">
      <alignment horizontal="left" vertical="center"/>
    </xf>
    <xf numFmtId="164" fontId="0" fillId="8" borderId="0" xfId="0" applyNumberFormat="1" applyFill="1"/>
    <xf numFmtId="0" fontId="0" fillId="3" borderId="16" xfId="0" applyFill="1" applyBorder="1" applyAlignment="1">
      <alignment horizontal="right"/>
    </xf>
    <xf numFmtId="0" fontId="0" fillId="3" borderId="17" xfId="0" applyFill="1" applyBorder="1" applyAlignment="1">
      <alignment horizontal="right"/>
    </xf>
    <xf numFmtId="0" fontId="0" fillId="3" borderId="18" xfId="0" applyFill="1" applyBorder="1" applyAlignment="1">
      <alignment horizontal="right"/>
    </xf>
    <xf numFmtId="0" fontId="17" fillId="14" borderId="19" xfId="0" applyFont="1" applyFill="1" applyBorder="1" applyAlignment="1">
      <alignment horizontal="center"/>
    </xf>
    <xf numFmtId="0" fontId="17" fillId="14" borderId="20" xfId="0" applyFont="1" applyFill="1" applyBorder="1" applyAlignment="1">
      <alignment horizontal="center"/>
    </xf>
    <xf numFmtId="0" fontId="16" fillId="3" borderId="10" xfId="0" applyFont="1" applyFill="1" applyBorder="1" applyAlignment="1">
      <alignment horizontal="center" wrapText="1"/>
    </xf>
    <xf numFmtId="0" fontId="16" fillId="3" borderId="11" xfId="0" applyFont="1" applyFill="1" applyBorder="1" applyAlignment="1">
      <alignment horizontal="center" wrapText="1"/>
    </xf>
    <xf numFmtId="0" fontId="0" fillId="3" borderId="16" xfId="0" applyFill="1" applyBorder="1" applyAlignment="1">
      <alignment horizontal="center" wrapText="1"/>
    </xf>
    <xf numFmtId="0" fontId="0" fillId="3" borderId="17" xfId="0" applyFill="1" applyBorder="1" applyAlignment="1">
      <alignment horizontal="center" wrapText="1"/>
    </xf>
    <xf numFmtId="0" fontId="0" fillId="3" borderId="18" xfId="0" applyFill="1" applyBorder="1" applyAlignment="1">
      <alignment horizontal="center" wrapText="1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17" fillId="8" borderId="16" xfId="0" applyFont="1" applyFill="1" applyBorder="1" applyAlignment="1">
      <alignment horizontal="center" wrapText="1"/>
    </xf>
    <xf numFmtId="0" fontId="17" fillId="8" borderId="17" xfId="0" applyFont="1" applyFill="1" applyBorder="1" applyAlignment="1">
      <alignment horizontal="center" wrapText="1"/>
    </xf>
    <xf numFmtId="0" fontId="17" fillId="15" borderId="10" xfId="0" applyFont="1" applyFill="1" applyBorder="1" applyAlignment="1">
      <alignment horizontal="center"/>
    </xf>
    <xf numFmtId="0" fontId="17" fillId="15" borderId="11" xfId="0" applyFont="1" applyFill="1" applyBorder="1" applyAlignment="1">
      <alignment horizontal="center"/>
    </xf>
    <xf numFmtId="0" fontId="0" fillId="3" borderId="16" xfId="0" applyFill="1" applyBorder="1" applyAlignment="1">
      <alignment horizontal="right" vertical="center"/>
    </xf>
    <xf numFmtId="0" fontId="0" fillId="3" borderId="17" xfId="0" applyFill="1" applyBorder="1" applyAlignment="1">
      <alignment horizontal="right" vertical="center"/>
    </xf>
    <xf numFmtId="0" fontId="0" fillId="3" borderId="18" xfId="0" applyFill="1" applyBorder="1" applyAlignment="1">
      <alignment horizontal="right" vertical="center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</cellXfs>
  <cellStyles count="47">
    <cellStyle name="S0" xfId="2"/>
    <cellStyle name="S1" xfId="3"/>
    <cellStyle name="S10" xfId="4"/>
    <cellStyle name="S11" xfId="5"/>
    <cellStyle name="S12" xfId="6"/>
    <cellStyle name="S13" xfId="7"/>
    <cellStyle name="S14" xfId="8"/>
    <cellStyle name="S15" xfId="9"/>
    <cellStyle name="S16" xfId="10"/>
    <cellStyle name="S17" xfId="11"/>
    <cellStyle name="S18" xfId="12"/>
    <cellStyle name="S19" xfId="13"/>
    <cellStyle name="S2" xfId="14"/>
    <cellStyle name="S20" xfId="15"/>
    <cellStyle name="S21" xfId="16"/>
    <cellStyle name="S22" xfId="17"/>
    <cellStyle name="S23" xfId="18"/>
    <cellStyle name="S24" xfId="19"/>
    <cellStyle name="S25" xfId="20"/>
    <cellStyle name="S26" xfId="21"/>
    <cellStyle name="S27" xfId="22"/>
    <cellStyle name="S3" xfId="23"/>
    <cellStyle name="S4" xfId="24"/>
    <cellStyle name="S5" xfId="25"/>
    <cellStyle name="S6" xfId="26"/>
    <cellStyle name="S7" xfId="27"/>
    <cellStyle name="S8" xfId="28"/>
    <cellStyle name="S9" xfId="29"/>
    <cellStyle name="Гиперссылка" xfId="46" builtinId="8"/>
    <cellStyle name="Гиперссылка 2" xfId="30"/>
    <cellStyle name="Гиперссылка 2 2" xfId="31"/>
    <cellStyle name="Гиперссылка 3" xfId="32"/>
    <cellStyle name="Обычный" xfId="0" builtinId="0"/>
    <cellStyle name="Обычный 2" xfId="33"/>
    <cellStyle name="Обычный 2 2" xfId="34"/>
    <cellStyle name="Обычный 2 2 2" xfId="35"/>
    <cellStyle name="Обычный 2 3" xfId="36"/>
    <cellStyle name="Обычный 2 4" xfId="37"/>
    <cellStyle name="Обычный 3" xfId="38"/>
    <cellStyle name="Обычный 3 2" xfId="39"/>
    <cellStyle name="Обычный 4" xfId="40"/>
    <cellStyle name="Обычный 4 2" xfId="41"/>
    <cellStyle name="Обычный 5" xfId="42"/>
    <cellStyle name="Обычный 5 2" xfId="43"/>
    <cellStyle name="Обычный 6" xfId="44"/>
    <cellStyle name="Обычный 7" xfId="1"/>
    <cellStyle name="Финансовый 2" xfId="45"/>
  </cellStyles>
  <dxfs count="6">
    <dxf>
      <fill>
        <patternFill patternType="solid">
          <fgColor indexed="64"/>
          <bgColor rgb="FFCCFFCC"/>
        </patternFill>
      </fill>
    </dxf>
    <dxf>
      <numFmt numFmtId="0" formatCode="General"/>
      <fill>
        <patternFill patternType="solid">
          <fgColor indexed="64"/>
          <bgColor rgb="FFCCFFCC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rgb="FFCCFFCC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rgb="FFCCFFCC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fill>
        <patternFill patternType="solid">
          <fgColor indexed="64"/>
          <bgColor rgb="FFCC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CFFCC"/>
      <color rgb="FFFFFFCC"/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71317442483128E-2"/>
          <c:y val="3.9497355138300015E-2"/>
          <c:w val="0.89477238474683074"/>
          <c:h val="0.82080355340197864"/>
        </c:manualLayout>
      </c:layout>
      <c:lineChart>
        <c:grouping val="standard"/>
        <c:varyColors val="0"/>
        <c:ser>
          <c:idx val="1"/>
          <c:order val="0"/>
          <c:tx>
            <c:strRef>
              <c:f>Расчеты!$F$19</c:f>
              <c:strCache>
                <c:ptCount val="1"/>
                <c:pt idx="0">
                  <c:v>Температура ТА</c:v>
                </c:pt>
              </c:strCache>
            </c:strRef>
          </c:tx>
          <c:spPr>
            <a:ln w="3175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[0]!Время</c:f>
              <c:numCache>
                <c:formatCode>0.0</c:formatCode>
                <c:ptCount val="6"/>
                <c:pt idx="0">
                  <c:v>0</c:v>
                </c:pt>
                <c:pt idx="1">
                  <c:v>8</c:v>
                </c:pt>
                <c:pt idx="2">
                  <c:v>9.5</c:v>
                </c:pt>
                <c:pt idx="3">
                  <c:v>19</c:v>
                </c:pt>
                <c:pt idx="4">
                  <c:v>20.7</c:v>
                </c:pt>
                <c:pt idx="5">
                  <c:v>24</c:v>
                </c:pt>
              </c:numCache>
            </c:numRef>
          </c:cat>
          <c:val>
            <c:numRef>
              <c:f>[0]!ТемператураТА</c:f>
              <c:numCache>
                <c:formatCode>0</c:formatCode>
                <c:ptCount val="6"/>
                <c:pt idx="0">
                  <c:v>75.311175847455374</c:v>
                </c:pt>
                <c:pt idx="1">
                  <c:v>40</c:v>
                </c:pt>
                <c:pt idx="2">
                  <c:v>73.845338983048691</c:v>
                </c:pt>
                <c:pt idx="3">
                  <c:v>46.67372881355891</c:v>
                </c:pt>
                <c:pt idx="4">
                  <c:v>84.749735169488673</c:v>
                </c:pt>
                <c:pt idx="5">
                  <c:v>75.311175847455374</c:v>
                </c:pt>
              </c:numCache>
            </c:numRef>
          </c:val>
          <c:smooth val="1"/>
        </c:ser>
        <c:ser>
          <c:idx val="2"/>
          <c:order val="1"/>
          <c:tx>
            <c:strRef>
              <c:f>Расчеты!$G$19</c:f>
              <c:strCache>
                <c:ptCount val="1"/>
                <c:pt idx="0">
                  <c:v>Темп. мин</c:v>
                </c:pt>
              </c:strCache>
            </c:strRef>
          </c:tx>
          <c:spPr>
            <a:ln w="31750">
              <a:solidFill>
                <a:srgbClr val="00B0F0"/>
              </a:solidFill>
              <a:prstDash val="sysDash"/>
            </a:ln>
          </c:spPr>
          <c:marker>
            <c:symbol val="none"/>
          </c:marker>
          <c:cat>
            <c:numRef>
              <c:f>[0]!Время</c:f>
              <c:numCache>
                <c:formatCode>0.0</c:formatCode>
                <c:ptCount val="6"/>
                <c:pt idx="0">
                  <c:v>0</c:v>
                </c:pt>
                <c:pt idx="1">
                  <c:v>8</c:v>
                </c:pt>
                <c:pt idx="2">
                  <c:v>9.5</c:v>
                </c:pt>
                <c:pt idx="3">
                  <c:v>19</c:v>
                </c:pt>
                <c:pt idx="4">
                  <c:v>20.7</c:v>
                </c:pt>
                <c:pt idx="5">
                  <c:v>24</c:v>
                </c:pt>
              </c:numCache>
            </c:numRef>
          </c:cat>
          <c:val>
            <c:numRef>
              <c:f>[0]!Темпер.Мин</c:f>
              <c:numCache>
                <c:formatCode>General</c:formatCode>
                <c:ptCount val="6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</c:numCache>
            </c:numRef>
          </c:val>
          <c:smooth val="1"/>
        </c:ser>
        <c:ser>
          <c:idx val="3"/>
          <c:order val="2"/>
          <c:tx>
            <c:strRef>
              <c:f>Расчеты!$H$19</c:f>
              <c:strCache>
                <c:ptCount val="1"/>
                <c:pt idx="0">
                  <c:v>Темп. Мах</c:v>
                </c:pt>
              </c:strCache>
            </c:strRef>
          </c:tx>
          <c:spPr>
            <a:ln w="31750"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[0]!Время</c:f>
              <c:numCache>
                <c:formatCode>0.0</c:formatCode>
                <c:ptCount val="6"/>
                <c:pt idx="0">
                  <c:v>0</c:v>
                </c:pt>
                <c:pt idx="1">
                  <c:v>8</c:v>
                </c:pt>
                <c:pt idx="2">
                  <c:v>9.5</c:v>
                </c:pt>
                <c:pt idx="3">
                  <c:v>19</c:v>
                </c:pt>
                <c:pt idx="4">
                  <c:v>20.7</c:v>
                </c:pt>
                <c:pt idx="5">
                  <c:v>24</c:v>
                </c:pt>
              </c:numCache>
            </c:numRef>
          </c:cat>
          <c:val>
            <c:numRef>
              <c:f>[0]!Темп._Мах</c:f>
              <c:numCache>
                <c:formatCode>General</c:formatCode>
                <c:ptCount val="6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</c:numCache>
            </c:numRef>
          </c:val>
          <c:smooth val="0"/>
        </c:ser>
        <c:ser>
          <c:idx val="0"/>
          <c:order val="3"/>
          <c:tx>
            <c:v>Закладка</c:v>
          </c:tx>
          <c:spPr>
            <a:ln>
              <a:noFill/>
            </a:ln>
          </c:spPr>
          <c:marker>
            <c:symbol val="x"/>
            <c:size val="7"/>
            <c:spPr>
              <a:solidFill>
                <a:srgbClr val="FF0000"/>
              </a:solidFill>
            </c:spPr>
          </c:marker>
          <c:dLbls>
            <c:dLblPos val="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</c:dLbls>
          <c:cat>
            <c:numRef>
              <c:f>[0]!Время</c:f>
              <c:numCache>
                <c:formatCode>0.0</c:formatCode>
                <c:ptCount val="6"/>
                <c:pt idx="0">
                  <c:v>0</c:v>
                </c:pt>
                <c:pt idx="1">
                  <c:v>8</c:v>
                </c:pt>
                <c:pt idx="2">
                  <c:v>9.5</c:v>
                </c:pt>
                <c:pt idx="3">
                  <c:v>19</c:v>
                </c:pt>
                <c:pt idx="4">
                  <c:v>20.7</c:v>
                </c:pt>
                <c:pt idx="5">
                  <c:v>24</c:v>
                </c:pt>
              </c:numCache>
            </c:numRef>
          </c:cat>
          <c:val>
            <c:numRef>
              <c:f>[0]!Закладка</c:f>
              <c:numCache>
                <c:formatCode>0</c:formatCode>
                <c:ptCount val="6"/>
                <c:pt idx="1">
                  <c:v>40</c:v>
                </c:pt>
                <c:pt idx="2">
                  <c:v>0</c:v>
                </c:pt>
                <c:pt idx="3">
                  <c:v>46.67372881355891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95584"/>
        <c:axId val="40197504"/>
      </c:lineChart>
      <c:catAx>
        <c:axId val="40195584"/>
        <c:scaling>
          <c:orientation val="minMax"/>
        </c:scaling>
        <c:delete val="0"/>
        <c:axPos val="b"/>
        <c:numFmt formatCode="0.0" sourceLinked="1"/>
        <c:majorTickMark val="out"/>
        <c:minorTickMark val="none"/>
        <c:tickLblPos val="low"/>
        <c:crossAx val="40197504"/>
        <c:crosses val="autoZero"/>
        <c:auto val="1"/>
        <c:lblAlgn val="ctr"/>
        <c:lblOffset val="100"/>
        <c:noMultiLvlLbl val="0"/>
      </c:catAx>
      <c:valAx>
        <c:axId val="4019750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4019558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877630</xdr:colOff>
      <xdr:row>15</xdr:row>
      <xdr:rowOff>150045</xdr:rowOff>
    </xdr:from>
    <xdr:to>
      <xdr:col>11</xdr:col>
      <xdr:colOff>471129</xdr:colOff>
      <xdr:row>28</xdr:row>
      <xdr:rowOff>122904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3</xdr:row>
      <xdr:rowOff>95250</xdr:rowOff>
    </xdr:from>
    <xdr:ext cx="2486025" cy="948615"/>
    <xdr:pic>
      <xdr:nvPicPr>
        <xdr:cNvPr id="2" name="Рисунок 1" descr="http://stroy-shkola.ru/wp-content/uploads/2013/12/Formula-dlya-vyichisleniya-obey-dlinyi-trubyi-dlya-boylera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1915775"/>
          <a:ext cx="2486025" cy="948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47625</xdr:colOff>
      <xdr:row>31</xdr:row>
      <xdr:rowOff>190499</xdr:rowOff>
    </xdr:from>
    <xdr:to>
      <xdr:col>2</xdr:col>
      <xdr:colOff>19050</xdr:colOff>
      <xdr:row>46</xdr:row>
      <xdr:rowOff>85725</xdr:rowOff>
    </xdr:to>
    <xdr:sp macro="" textlink="">
      <xdr:nvSpPr>
        <xdr:cNvPr id="3" name="Прямоугольник 2"/>
        <xdr:cNvSpPr/>
      </xdr:nvSpPr>
      <xdr:spPr>
        <a:xfrm>
          <a:off x="47625" y="6105524"/>
          <a:ext cx="3800475" cy="27527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Q</a:t>
          </a: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м=</a:t>
          </a:r>
          <a:r>
            <a:rPr lang="en-US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k*(</a:t>
          </a: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Т</a:t>
          </a:r>
          <a:r>
            <a:rPr lang="en-US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m-tm) </a:t>
          </a: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ккал/час , где </a:t>
          </a:r>
          <a:r>
            <a:rPr lang="ru-RU"/>
            <a:t/>
          </a:r>
          <a:br>
            <a:rPr lang="ru-RU"/>
          </a:br>
          <a:r>
            <a:rPr lang="en-US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k =12 </a:t>
          </a: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ккал в час (13,96Вт)  на 1 гр.С - коэф. теплопередачи от огня к воде через железную трубу на 1 гр. разности температур </a:t>
          </a:r>
          <a:r>
            <a:rPr lang="ru-RU"/>
            <a:t/>
          </a:r>
          <a:br>
            <a:rPr lang="ru-RU"/>
          </a:br>
          <a:r>
            <a:rPr lang="en-US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Tm - </a:t>
          </a: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температура газов омывающих регист (верх-низ, макс-мин) </a:t>
          </a:r>
          <a:r>
            <a:rPr lang="ru-RU"/>
            <a:t/>
          </a:r>
          <a:br>
            <a:rPr lang="ru-RU"/>
          </a:b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(1000+600)/2=800 гр.С </a:t>
          </a:r>
          <a:r>
            <a:rPr lang="ru-RU"/>
            <a:t/>
          </a:r>
          <a:br>
            <a:rPr lang="ru-RU"/>
          </a:br>
          <a:r>
            <a:rPr lang="en-US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tm - </a:t>
          </a: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температура в регистре входящая-исходящая </a:t>
          </a:r>
          <a:r>
            <a:rPr lang="ru-RU"/>
            <a:t/>
          </a:r>
          <a:br>
            <a:rPr lang="ru-RU"/>
          </a:b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на восходящей принимается 80 гр.С, на обратке -60 гр.С </a:t>
          </a:r>
          <a:r>
            <a:rPr lang="ru-RU"/>
            <a:t/>
          </a:r>
          <a:br>
            <a:rPr lang="ru-RU"/>
          </a:b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(80+60)/2=70 гр.С </a:t>
          </a:r>
          <a:r>
            <a:rPr lang="ru-RU"/>
            <a:t/>
          </a:r>
          <a:br>
            <a:rPr lang="ru-RU"/>
          </a:br>
          <a:r>
            <a:rPr lang="ru-RU"/>
            <a:t/>
          </a:r>
          <a:br>
            <a:rPr lang="ru-RU"/>
          </a:b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теперь считаем по выше приведенной формуле </a:t>
          </a:r>
          <a:r>
            <a:rPr lang="ru-RU"/>
            <a:t/>
          </a:r>
          <a:br>
            <a:rPr lang="ru-RU"/>
          </a:b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12*(800-70)=8760 ккал/час или 10.2 кВт </a:t>
          </a:r>
          <a:r>
            <a:rPr lang="ru-RU"/>
            <a:t/>
          </a:r>
          <a:br>
            <a:rPr lang="ru-RU"/>
          </a:b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можно снять с метра змеевика </a:t>
          </a:r>
        </a:p>
        <a:p>
          <a:pPr algn="l"/>
          <a:r>
            <a:rPr lang="ru-RU" sz="1100"/>
            <a:t>1ккал/час = 1.163Вт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Таблица2" displayName="Таблица2" ref="E19:I35" totalsRowShown="0" headerRowDxfId="5">
  <autoFilter ref="E19:I35"/>
  <tableColumns count="5">
    <tableColumn id="1" name="часы суток" dataDxfId="4">
      <calculatedColumnFormula>IFERROR(VLOOKUP(D20,$A$2:$C$900,2,FALSE),"")</calculatedColumnFormula>
    </tableColumn>
    <tableColumn id="2" name="Температура ТА" dataDxfId="3">
      <calculatedColumnFormula>IFERROR(VLOOKUP(D20,$A$2:$C$900,3,FALSE),"")</calculatedColumnFormula>
    </tableColumn>
    <tableColumn id="3" name="Темп. мин" dataDxfId="2">
      <calculatedColumnFormula>IF(Таблица2[[#This Row],[часы суток]]="","",Теплоакумулятор!$B$14)</calculatedColumnFormula>
    </tableColumn>
    <tableColumn id="4" name="Темп. Мах" dataDxfId="1">
      <calculatedColumnFormula>IF(Таблица2[[#This Row],[часы суток]]="","",Теплоакумулятор!$B$15)</calculatedColumnFormula>
    </tableColumn>
    <tableColumn id="5" name="Метка закладки" dataDxfId="0">
      <calculatedColumnFormula>IF(ISNA(MATCH(E20,$J$3:$J$10,0)),"",F20)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stovemaster.ru/viewtopic.php?t=52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0000"/>
  </sheetPr>
  <dimension ref="A1:N73"/>
  <sheetViews>
    <sheetView tabSelected="1" zoomScale="93" zoomScaleNormal="93" workbookViewId="0">
      <selection activeCell="M8" sqref="M8"/>
    </sheetView>
  </sheetViews>
  <sheetFormatPr defaultRowHeight="15" x14ac:dyDescent="0.25"/>
  <cols>
    <col min="1" max="1" width="47.140625" customWidth="1"/>
    <col min="2" max="2" width="13.140625" style="1" customWidth="1"/>
    <col min="3" max="3" width="6" customWidth="1"/>
    <col min="4" max="4" width="8.140625" customWidth="1"/>
    <col min="5" max="5" width="16.28515625" customWidth="1"/>
    <col min="6" max="6" width="22.42578125" bestFit="1" customWidth="1"/>
    <col min="7" max="7" width="9.85546875" customWidth="1"/>
    <col min="8" max="8" width="15.85546875" customWidth="1"/>
    <col min="9" max="9" width="14.85546875" customWidth="1"/>
    <col min="10" max="10" width="7.42578125" customWidth="1"/>
    <col min="11" max="11" width="8" customWidth="1"/>
    <col min="12" max="12" width="9.85546875" customWidth="1"/>
    <col min="13" max="13" width="4.5703125" bestFit="1" customWidth="1"/>
    <col min="14" max="14" width="8.5703125" customWidth="1"/>
    <col min="15" max="15" width="6.140625" customWidth="1"/>
  </cols>
  <sheetData>
    <row r="1" spans="1:10" x14ac:dyDescent="0.25">
      <c r="A1" s="20" t="s">
        <v>0</v>
      </c>
      <c r="B1" s="21">
        <v>1.1666666666666999E-3</v>
      </c>
      <c r="D1" s="2" t="s">
        <v>30</v>
      </c>
      <c r="F1" s="3"/>
    </row>
    <row r="2" spans="1:10" x14ac:dyDescent="0.25">
      <c r="A2" s="22" t="s">
        <v>1</v>
      </c>
      <c r="B2" s="23">
        <v>2.777777777778E-4</v>
      </c>
      <c r="F2" s="3"/>
    </row>
    <row r="3" spans="1:10" x14ac:dyDescent="0.25">
      <c r="A3" s="22" t="s">
        <v>7</v>
      </c>
      <c r="B3" s="34">
        <v>4</v>
      </c>
    </row>
    <row r="4" spans="1:10" ht="15.75" thickBot="1" x14ac:dyDescent="0.3">
      <c r="A4" s="24" t="s">
        <v>28</v>
      </c>
      <c r="B4" s="35">
        <v>7850</v>
      </c>
      <c r="G4" s="3"/>
    </row>
    <row r="5" spans="1:10" x14ac:dyDescent="0.25">
      <c r="G5" s="3"/>
    </row>
    <row r="6" spans="1:10" ht="15.75" thickBot="1" x14ac:dyDescent="0.3"/>
    <row r="7" spans="1:10" ht="15.75" thickBot="1" x14ac:dyDescent="0.3">
      <c r="D7" s="114" t="s">
        <v>71</v>
      </c>
      <c r="E7" s="115"/>
      <c r="F7" s="115"/>
      <c r="G7" s="115"/>
      <c r="H7" s="115"/>
      <c r="I7" s="116"/>
      <c r="J7" s="106">
        <f>ROUND(IF(MAX(Расчеты!K3:K11)+Расчеты!N11/Теплоакумулятор!B9&gt;24,Расчеты!N11/Теплоакумулятор!B9-(24-MAX(Расчеты!K3:K11)),MAX(Расчеты!K3:K11)+Расчеты!N11/Теплоакумулятор!B9),1)</f>
        <v>12.3</v>
      </c>
    </row>
    <row r="8" spans="1:10" ht="43.5" customHeight="1" thickBot="1" x14ac:dyDescent="0.3">
      <c r="A8" s="119" t="s">
        <v>46</v>
      </c>
      <c r="B8" s="120"/>
      <c r="D8" s="131" t="s">
        <v>72</v>
      </c>
      <c r="E8" s="132"/>
      <c r="F8" s="132"/>
      <c r="G8" s="132"/>
      <c r="H8" s="132"/>
      <c r="I8" s="133"/>
      <c r="J8" s="107">
        <f>Расчеты!M2-Расчеты!G3/(Теплоакумулятор!$B$48*Теплоакумулятор!$B$1)</f>
        <v>52.429819915253447</v>
      </c>
    </row>
    <row r="9" spans="1:10" ht="45.75" thickBot="1" x14ac:dyDescent="0.3">
      <c r="A9" s="4" t="s">
        <v>11</v>
      </c>
      <c r="B9" s="31">
        <v>9</v>
      </c>
      <c r="D9" s="79" t="s">
        <v>54</v>
      </c>
      <c r="E9" s="79" t="s">
        <v>61</v>
      </c>
      <c r="F9" s="84" t="s">
        <v>62</v>
      </c>
      <c r="G9" s="84" t="s">
        <v>56</v>
      </c>
      <c r="H9" s="79" t="s">
        <v>57</v>
      </c>
      <c r="I9" s="84" t="s">
        <v>58</v>
      </c>
    </row>
    <row r="10" spans="1:10" x14ac:dyDescent="0.25">
      <c r="A10" s="4" t="s">
        <v>8</v>
      </c>
      <c r="B10" s="32">
        <v>175</v>
      </c>
      <c r="D10" s="70">
        <v>1</v>
      </c>
      <c r="E10" s="71">
        <v>8</v>
      </c>
      <c r="F10" s="11">
        <f>Расчеты!K3</f>
        <v>9.5</v>
      </c>
      <c r="G10" s="85">
        <v>40</v>
      </c>
      <c r="H10" s="105">
        <v>40</v>
      </c>
      <c r="I10" s="37">
        <f>IFERROR(Расчеты!N3,"")</f>
        <v>73.845338983048691</v>
      </c>
    </row>
    <row r="11" spans="1:10" x14ac:dyDescent="0.25">
      <c r="A11" s="4" t="s">
        <v>9</v>
      </c>
      <c r="B11" s="32">
        <v>80</v>
      </c>
      <c r="D11" s="72">
        <v>2</v>
      </c>
      <c r="E11" s="73">
        <v>19</v>
      </c>
      <c r="F11" s="11">
        <f>Расчеты!K4</f>
        <v>20.7</v>
      </c>
      <c r="G11" s="85">
        <v>45</v>
      </c>
      <c r="H11" s="37">
        <f>IFERROR(Расчеты!M4,"")</f>
        <v>46.67372881355891</v>
      </c>
      <c r="I11" s="37">
        <f>IFERROR(Расчеты!N4,"")</f>
        <v>84.749735169488673</v>
      </c>
    </row>
    <row r="12" spans="1:10" x14ac:dyDescent="0.25">
      <c r="A12" s="4" t="s">
        <v>10</v>
      </c>
      <c r="B12" s="32">
        <v>60</v>
      </c>
      <c r="D12" s="72">
        <v>3</v>
      </c>
      <c r="E12" s="73"/>
      <c r="F12" s="11">
        <f>Расчеты!K5</f>
        <v>0</v>
      </c>
      <c r="G12" s="85"/>
      <c r="H12" s="37" t="str">
        <f>IFERROR(Расчеты!M5,"")</f>
        <v/>
      </c>
      <c r="I12" s="37" t="str">
        <f>IFERROR(Расчеты!N5,"")</f>
        <v/>
      </c>
    </row>
    <row r="13" spans="1:10" x14ac:dyDescent="0.25">
      <c r="A13" s="4" t="s">
        <v>29</v>
      </c>
      <c r="B13" s="32">
        <v>4</v>
      </c>
      <c r="D13" s="72">
        <v>4</v>
      </c>
      <c r="E13" s="73"/>
      <c r="F13" s="11">
        <f>Расчеты!K6</f>
        <v>0</v>
      </c>
      <c r="G13" s="85"/>
      <c r="H13" s="37" t="str">
        <f>IFERROR(Расчеты!M6,"")</f>
        <v/>
      </c>
      <c r="I13" s="37" t="str">
        <f>IFERROR(Расчеты!N6,"")</f>
        <v/>
      </c>
    </row>
    <row r="14" spans="1:10" x14ac:dyDescent="0.25">
      <c r="A14" s="4" t="s">
        <v>2</v>
      </c>
      <c r="B14" s="32">
        <v>40</v>
      </c>
      <c r="D14" s="72">
        <v>5</v>
      </c>
      <c r="E14" s="73"/>
      <c r="F14" s="11">
        <f>Расчеты!K7</f>
        <v>0</v>
      </c>
      <c r="G14" s="85"/>
      <c r="H14" s="37" t="str">
        <f>IFERROR(Расчеты!M7,"")</f>
        <v/>
      </c>
      <c r="I14" s="37" t="str">
        <f>IFERROR(Расчеты!N7,"")</f>
        <v/>
      </c>
    </row>
    <row r="15" spans="1:10" x14ac:dyDescent="0.25">
      <c r="A15" s="4" t="s">
        <v>3</v>
      </c>
      <c r="B15" s="32">
        <v>90</v>
      </c>
      <c r="D15" s="72">
        <v>6</v>
      </c>
      <c r="E15" s="73"/>
      <c r="F15" s="11">
        <f>Расчеты!K8</f>
        <v>0</v>
      </c>
      <c r="G15" s="85"/>
      <c r="H15" s="37" t="str">
        <f>IFERROR(Расчеты!M8,"")</f>
        <v/>
      </c>
      <c r="I15" s="37" t="str">
        <f>IFERROR(Расчеты!N8,"")</f>
        <v/>
      </c>
    </row>
    <row r="16" spans="1:10" ht="18.75" x14ac:dyDescent="0.3">
      <c r="A16" s="4" t="s">
        <v>63</v>
      </c>
      <c r="B16" s="42">
        <v>80</v>
      </c>
      <c r="D16" s="72">
        <v>7</v>
      </c>
      <c r="E16" s="73"/>
      <c r="F16" s="11">
        <f>Расчеты!K9</f>
        <v>0</v>
      </c>
      <c r="G16" s="85"/>
      <c r="H16" s="37" t="str">
        <f>IFERROR(Расчеты!M9,"")</f>
        <v/>
      </c>
      <c r="I16" s="37" t="str">
        <f>IFERROR(Расчеты!N9,"")</f>
        <v/>
      </c>
    </row>
    <row r="17" spans="1:14" ht="15.75" thickBot="1" x14ac:dyDescent="0.3">
      <c r="A17" s="4" t="s">
        <v>13</v>
      </c>
      <c r="B17" s="33">
        <v>0.75</v>
      </c>
      <c r="D17" s="74">
        <v>8</v>
      </c>
      <c r="E17" s="75"/>
      <c r="F17" s="11">
        <f>Расчеты!K10</f>
        <v>0</v>
      </c>
      <c r="G17" s="85"/>
      <c r="H17" s="37" t="str">
        <f>IFERROR(Расчеты!M10,"")</f>
        <v/>
      </c>
      <c r="I17" s="37" t="str">
        <f>IFERROR(Расчеты!N10,"")</f>
        <v/>
      </c>
    </row>
    <row r="18" spans="1:14" ht="30" customHeight="1" x14ac:dyDescent="0.25">
      <c r="A18" s="41" t="s">
        <v>12</v>
      </c>
      <c r="B18" s="43">
        <v>60</v>
      </c>
    </row>
    <row r="19" spans="1:14" x14ac:dyDescent="0.25">
      <c r="A19" s="4" t="s">
        <v>47</v>
      </c>
      <c r="B19" s="31">
        <v>1</v>
      </c>
    </row>
    <row r="20" spans="1:14" ht="30" customHeight="1" x14ac:dyDescent="0.25">
      <c r="A20" s="4" t="s">
        <v>45</v>
      </c>
      <c r="B20" s="31">
        <v>1</v>
      </c>
    </row>
    <row r="22" spans="1:14" ht="15.75" thickBot="1" x14ac:dyDescent="0.3"/>
    <row r="23" spans="1:14" ht="48" customHeight="1" thickBot="1" x14ac:dyDescent="0.3">
      <c r="A23" s="127" t="str">
        <f>CONCATENATE("Параметры мощного котла и ТА с возможностью топить не более чем ", B19," раза в сутки, делая по ",B20," закладки каждый раз ")</f>
        <v xml:space="preserve">Параметры мощного котла и ТА с возможностью топить не более чем 1 раза в сутки, делая по 1 закладки каждый раз </v>
      </c>
      <c r="B23" s="128"/>
    </row>
    <row r="24" spans="1:14" x14ac:dyDescent="0.25">
      <c r="A24" s="48" t="s">
        <v>49</v>
      </c>
      <c r="B24" s="38">
        <f>B53/(B19*B20)</f>
        <v>72</v>
      </c>
    </row>
    <row r="25" spans="1:14" ht="30" x14ac:dyDescent="0.25">
      <c r="A25" s="47" t="s">
        <v>26</v>
      </c>
      <c r="B25" s="39">
        <f>B24*B3</f>
        <v>288</v>
      </c>
    </row>
    <row r="26" spans="1:14" ht="15.75" thickBot="1" x14ac:dyDescent="0.3">
      <c r="A26" s="36" t="s">
        <v>52</v>
      </c>
      <c r="B26" s="40">
        <f>B9*D26/(B1*(B15-B14))</f>
        <v>2159.9999999999382</v>
      </c>
      <c r="C26" s="51" t="s">
        <v>48</v>
      </c>
      <c r="D26" s="50">
        <v>14</v>
      </c>
      <c r="E26" s="134" t="s">
        <v>44</v>
      </c>
      <c r="F26" s="135"/>
    </row>
    <row r="27" spans="1:14" x14ac:dyDescent="0.25">
      <c r="N27" t="s">
        <v>50</v>
      </c>
    </row>
    <row r="29" spans="1:14" ht="15.75" x14ac:dyDescent="0.25">
      <c r="A29" s="117" t="s">
        <v>75</v>
      </c>
      <c r="B29" s="118"/>
    </row>
    <row r="30" spans="1:14" x14ac:dyDescent="0.25">
      <c r="A30" s="7" t="s">
        <v>76</v>
      </c>
      <c r="B30" s="93" t="s">
        <v>77</v>
      </c>
      <c r="C30" s="7" t="s">
        <v>92</v>
      </c>
      <c r="D30" s="7" t="s">
        <v>93</v>
      </c>
      <c r="E30" s="7" t="s">
        <v>80</v>
      </c>
      <c r="F30" s="7" t="s">
        <v>79</v>
      </c>
    </row>
    <row r="31" spans="1:14" x14ac:dyDescent="0.25">
      <c r="A31" s="92" t="s">
        <v>78</v>
      </c>
      <c r="B31" s="94">
        <v>300</v>
      </c>
      <c r="C31" s="95">
        <v>100</v>
      </c>
      <c r="D31" s="95">
        <v>700</v>
      </c>
      <c r="E31" s="78">
        <f>(D31-C31)*B31*$B$2</f>
        <v>50.000000000004</v>
      </c>
      <c r="F31" s="78">
        <f t="shared" ref="F31:F40" si="0">E31*$B$46/$B$54</f>
        <v>857.14285714290122</v>
      </c>
    </row>
    <row r="32" spans="1:14" x14ac:dyDescent="0.25">
      <c r="A32" s="10" t="s">
        <v>81</v>
      </c>
      <c r="B32" s="94">
        <v>200</v>
      </c>
      <c r="C32" s="96">
        <v>100</v>
      </c>
      <c r="D32" s="96">
        <v>400</v>
      </c>
      <c r="E32" s="78">
        <f t="shared" ref="E32:E36" si="1">(D32-C32)*B32*$B$2</f>
        <v>16.666666666668</v>
      </c>
      <c r="F32" s="78">
        <f t="shared" si="0"/>
        <v>285.71428571430044</v>
      </c>
    </row>
    <row r="33" spans="1:6" x14ac:dyDescent="0.25">
      <c r="A33" s="10" t="s">
        <v>82</v>
      </c>
      <c r="B33" s="94">
        <v>200</v>
      </c>
      <c r="C33" s="96">
        <v>100</v>
      </c>
      <c r="D33" s="96">
        <v>300</v>
      </c>
      <c r="E33" s="78">
        <f t="shared" si="1"/>
        <v>11.111111111112001</v>
      </c>
      <c r="F33" s="78">
        <f t="shared" si="0"/>
        <v>190.47619047620026</v>
      </c>
    </row>
    <row r="34" spans="1:6" x14ac:dyDescent="0.25">
      <c r="A34" s="10" t="s">
        <v>83</v>
      </c>
      <c r="B34" s="94">
        <v>200</v>
      </c>
      <c r="C34" s="96">
        <v>100</v>
      </c>
      <c r="D34" s="96">
        <v>250</v>
      </c>
      <c r="E34" s="78">
        <f t="shared" si="1"/>
        <v>8.3333333333340001</v>
      </c>
      <c r="F34" s="78">
        <f t="shared" si="0"/>
        <v>142.85714285715022</v>
      </c>
    </row>
    <row r="35" spans="1:6" x14ac:dyDescent="0.25">
      <c r="A35" s="10" t="s">
        <v>84</v>
      </c>
      <c r="B35" s="94">
        <v>200</v>
      </c>
      <c r="C35" s="96">
        <v>50</v>
      </c>
      <c r="D35" s="96">
        <v>150</v>
      </c>
      <c r="E35" s="78">
        <f t="shared" si="1"/>
        <v>5.5555555555560003</v>
      </c>
      <c r="F35" s="78">
        <f t="shared" si="0"/>
        <v>95.238095238100129</v>
      </c>
    </row>
    <row r="36" spans="1:6" x14ac:dyDescent="0.25">
      <c r="A36" s="97" t="s">
        <v>85</v>
      </c>
      <c r="B36" s="94">
        <v>500</v>
      </c>
      <c r="C36" s="96">
        <v>30</v>
      </c>
      <c r="D36" s="96">
        <v>150</v>
      </c>
      <c r="E36" s="78">
        <f t="shared" si="1"/>
        <v>16.666666666668</v>
      </c>
      <c r="F36" s="78">
        <f t="shared" si="0"/>
        <v>285.71428571430044</v>
      </c>
    </row>
    <row r="37" spans="1:6" x14ac:dyDescent="0.25">
      <c r="A37" s="97" t="s">
        <v>94</v>
      </c>
      <c r="B37" s="94"/>
      <c r="C37" s="96"/>
      <c r="D37" s="96"/>
      <c r="E37" s="78">
        <f t="shared" ref="E37:E40" si="2">(D37-C37)*B37*$B$2</f>
        <v>0</v>
      </c>
      <c r="F37" s="78">
        <f t="shared" si="0"/>
        <v>0</v>
      </c>
    </row>
    <row r="38" spans="1:6" x14ac:dyDescent="0.25">
      <c r="A38" s="97" t="s">
        <v>95</v>
      </c>
      <c r="B38" s="94"/>
      <c r="C38" s="96"/>
      <c r="D38" s="96"/>
      <c r="E38" s="78">
        <f t="shared" si="2"/>
        <v>0</v>
      </c>
      <c r="F38" s="78">
        <f t="shared" si="0"/>
        <v>0</v>
      </c>
    </row>
    <row r="39" spans="1:6" x14ac:dyDescent="0.25">
      <c r="A39" s="97" t="s">
        <v>96</v>
      </c>
      <c r="B39" s="94"/>
      <c r="C39" s="96"/>
      <c r="D39" s="96"/>
      <c r="E39" s="78">
        <f t="shared" si="2"/>
        <v>0</v>
      </c>
      <c r="F39" s="78">
        <f t="shared" si="0"/>
        <v>0</v>
      </c>
    </row>
    <row r="40" spans="1:6" ht="15.75" thickBot="1" x14ac:dyDescent="0.3">
      <c r="A40" s="97" t="s">
        <v>97</v>
      </c>
      <c r="B40" s="94"/>
      <c r="C40" s="96"/>
      <c r="D40" s="96"/>
      <c r="E40" s="78">
        <f t="shared" si="2"/>
        <v>0</v>
      </c>
      <c r="F40" s="78">
        <f t="shared" si="0"/>
        <v>0</v>
      </c>
    </row>
    <row r="41" spans="1:6" ht="15.75" thickBot="1" x14ac:dyDescent="0.3">
      <c r="A41" s="98" t="s">
        <v>89</v>
      </c>
      <c r="B41" s="99">
        <f>SUM(B31:B36)</f>
        <v>1600</v>
      </c>
      <c r="C41" s="100"/>
      <c r="D41" s="100"/>
      <c r="E41" s="101">
        <f>SUM(E31:E36)</f>
        <v>108.33333333334198</v>
      </c>
      <c r="F41" s="102">
        <f>SUM(F31:F36)</f>
        <v>1857.1428571429528</v>
      </c>
    </row>
    <row r="43" spans="1:6" ht="15.75" x14ac:dyDescent="0.25">
      <c r="A43" s="129" t="s">
        <v>98</v>
      </c>
      <c r="B43" s="130"/>
    </row>
    <row r="44" spans="1:6" x14ac:dyDescent="0.25">
      <c r="A44" s="4" t="s">
        <v>4</v>
      </c>
      <c r="B44" s="9">
        <f>(B11/100*B10/100)*2+(B11/100*B12/100)*2+(B12/100*B10/100)*2</f>
        <v>5.8599999999999994</v>
      </c>
    </row>
    <row r="45" spans="1:6" x14ac:dyDescent="0.25">
      <c r="A45" s="10" t="s">
        <v>5</v>
      </c>
      <c r="B45" s="9">
        <f>B4*B44*B13/1000</f>
        <v>184.00399999999996</v>
      </c>
    </row>
    <row r="46" spans="1:6" x14ac:dyDescent="0.25">
      <c r="A46" s="4" t="s">
        <v>6</v>
      </c>
      <c r="B46" s="9">
        <f>B10*B11*B12/1000</f>
        <v>840</v>
      </c>
    </row>
    <row r="47" spans="1:6" x14ac:dyDescent="0.25">
      <c r="A47" s="10" t="s">
        <v>90</v>
      </c>
      <c r="B47" s="103">
        <f>F41</f>
        <v>1857.1428571429528</v>
      </c>
    </row>
    <row r="48" spans="1:6" ht="18.75" x14ac:dyDescent="0.25">
      <c r="A48" s="4" t="s">
        <v>91</v>
      </c>
      <c r="B48" s="44">
        <f>SUM(B46:B47)</f>
        <v>2697.1428571429528</v>
      </c>
    </row>
    <row r="51" spans="1:4" ht="47.25" customHeight="1" x14ac:dyDescent="0.25">
      <c r="A51" s="49" t="s">
        <v>51</v>
      </c>
      <c r="B51" s="26"/>
    </row>
    <row r="52" spans="1:4" ht="30" x14ac:dyDescent="0.25">
      <c r="A52" s="5" t="s">
        <v>18</v>
      </c>
      <c r="B52" s="11">
        <f>24*B9</f>
        <v>216</v>
      </c>
    </row>
    <row r="53" spans="1:4" ht="30" x14ac:dyDescent="0.25">
      <c r="A53" s="5" t="s">
        <v>14</v>
      </c>
      <c r="B53" s="11">
        <f>ROUND(B9*24/B3/B17,1)</f>
        <v>72</v>
      </c>
    </row>
    <row r="54" spans="1:4" ht="15.75" customHeight="1" x14ac:dyDescent="0.25">
      <c r="A54" s="4" t="s">
        <v>86</v>
      </c>
      <c r="B54" s="11">
        <f>(B15-B14)*B46*B1</f>
        <v>49.0000000000014</v>
      </c>
    </row>
    <row r="55" spans="1:4" x14ac:dyDescent="0.25">
      <c r="A55" s="4" t="s">
        <v>87</v>
      </c>
      <c r="B55" s="11">
        <f>E41</f>
        <v>108.33333333334198</v>
      </c>
    </row>
    <row r="56" spans="1:4" ht="18.75" customHeight="1" x14ac:dyDescent="0.25">
      <c r="A56" s="4" t="s">
        <v>88</v>
      </c>
      <c r="B56" s="11">
        <f>B54+B55</f>
        <v>157.33333333334338</v>
      </c>
    </row>
    <row r="57" spans="1:4" ht="30" x14ac:dyDescent="0.25">
      <c r="A57" s="5" t="s">
        <v>19</v>
      </c>
      <c r="B57" s="11">
        <f>IF(B16*B17&gt;B9,B56/((B16*B17)-B9),"")</f>
        <v>3.0849673202616348</v>
      </c>
    </row>
    <row r="58" spans="1:4" ht="15.75" x14ac:dyDescent="0.25">
      <c r="A58" s="5" t="s">
        <v>16</v>
      </c>
      <c r="B58" s="45">
        <f>B56/B9</f>
        <v>17.481481481482597</v>
      </c>
    </row>
    <row r="59" spans="1:4" ht="45" x14ac:dyDescent="0.25">
      <c r="A59" s="5" t="s">
        <v>31</v>
      </c>
      <c r="B59" s="46">
        <f>IF(B57="","",(B16*B57)/(B3/B17))</f>
        <v>46.274509803924524</v>
      </c>
    </row>
    <row r="60" spans="1:4" ht="30" x14ac:dyDescent="0.25">
      <c r="A60" s="5" t="s">
        <v>27</v>
      </c>
      <c r="B60" s="11">
        <f>B9*24/(B16*B17)</f>
        <v>3.6</v>
      </c>
    </row>
    <row r="61" spans="1:4" x14ac:dyDescent="0.25">
      <c r="A61" s="5" t="s">
        <v>21</v>
      </c>
      <c r="B61" s="11">
        <f>B18/(B16/(B3*B17))</f>
        <v>2.25</v>
      </c>
    </row>
    <row r="62" spans="1:4" ht="30" x14ac:dyDescent="0.25">
      <c r="A62" s="5" t="s">
        <v>20</v>
      </c>
      <c r="B62" s="11">
        <f>IF($B$18&gt;$B$59,$B$53/$B$59,$B$53/$B$18)</f>
        <v>1.5559322033897311</v>
      </c>
      <c r="D62" s="14"/>
    </row>
    <row r="64" spans="1:4" x14ac:dyDescent="0.25">
      <c r="A64" s="27" t="s">
        <v>43</v>
      </c>
      <c r="B64" s="28"/>
    </row>
    <row r="65" spans="1:14" ht="67.5" customHeight="1" thickBot="1" x14ac:dyDescent="0.3">
      <c r="A65" s="88" t="str">
        <f>IF(B18*(B3*B17)*B19*B20&lt;B52,CONCATENATE("Вашему дому нужен более вместительный котел или ищите кочегара. Т.к. за ",B19," топки по ",B20," закладки каждая, получаете ",B18*(B3*B17)*B19*B20," кВт энергии",", а дому нужно ",B52," кВт в сутки. Нужно часто топить"),IF(B61*B16&gt;B56+B61*B9,CONCATENATE("Вашему котлу нужен ТА большей емкости т.к. за время горения полной закладки выделяется ",B61*B16," кВт/час тепла, а СО и ТА усвоит за это время только ",ROUND(B56+B61*B9,0)," кВт/час"),IF(AND(B62&gt;2,B18*B3*B17-(2*B61*B9)&gt;B56),CONCATENATE("Вашей системе желателен ТА большей емкости, т.к. от двойной полной закладки ТА закипит. Полная двойная закладка даст ", B18*B3*B17," кВт тепла"," Ваш ТА усваивает только ",ROUND(B56,1)),IF((24-B61)/B19&gt;B58+B57,CONCATENATE("Время между топками меньше ",ROUND(B57+B58,0)," часов. Чтобы топить ",B19," раза в сутки необходимо увеличить ТА"),IF(AND(B61&gt;1,B18&lt;B53/2),"Похоже система КОТЕЛ-ТА несбалансирована. Время горения закладки больше часа, но объема закладки не хватает на день (ночь) отопления. Либо мощнее котел, либо котел долгогрей. ","Больше не нужно, можно даже меньше.")))))</f>
        <v>Вашему дому нужен более вместительный котел или ищите кочегара. Т.к. за 1 топки по 1 закладки каждая, получаете 180 кВт энергии, а дому нужно 216 кВт в сутки. Нужно часто топить</v>
      </c>
      <c r="B65" s="89"/>
    </row>
    <row r="66" spans="1:14" ht="15.75" thickBot="1" x14ac:dyDescent="0.3">
      <c r="D66" s="121" t="str">
        <f>CONCATENATE("Минимально необходимое количество закладок за сутки при теплопотерях дома ",B9," кВт/час.",," За сутки необходимо сжечь ",B53," кг дров  с КПД ",B17*100,"%")</f>
        <v>Минимально необходимое количество закладок за сутки при теплопотерях дома 9 кВт/час. За сутки необходимо сжечь 72 кг дров  с КПД 75%</v>
      </c>
      <c r="E66" s="122"/>
      <c r="F66" s="122"/>
      <c r="G66" s="122"/>
      <c r="H66" s="122"/>
      <c r="I66" s="122"/>
      <c r="J66" s="122"/>
      <c r="K66" s="122"/>
      <c r="L66" s="122"/>
      <c r="M66" s="122"/>
      <c r="N66" s="123"/>
    </row>
    <row r="67" spans="1:14" x14ac:dyDescent="0.25">
      <c r="D67" s="124" t="s">
        <v>17</v>
      </c>
      <c r="E67" s="125"/>
      <c r="F67" s="125"/>
      <c r="G67" s="125"/>
      <c r="H67" s="125"/>
      <c r="I67" s="125"/>
      <c r="J67" s="125"/>
      <c r="K67" s="125"/>
      <c r="L67" s="125"/>
      <c r="M67" s="125"/>
      <c r="N67" s="126"/>
    </row>
    <row r="68" spans="1:14" x14ac:dyDescent="0.25">
      <c r="D68" s="7" t="s">
        <v>15</v>
      </c>
      <c r="E68" s="6">
        <v>10</v>
      </c>
      <c r="F68" s="6">
        <v>15</v>
      </c>
      <c r="G68" s="6">
        <v>20</v>
      </c>
      <c r="H68" s="6">
        <v>30</v>
      </c>
      <c r="I68" s="6">
        <v>40</v>
      </c>
      <c r="J68" s="6">
        <v>50</v>
      </c>
      <c r="K68" s="6">
        <v>70</v>
      </c>
      <c r="L68" s="6">
        <v>80</v>
      </c>
      <c r="M68" s="6">
        <v>90</v>
      </c>
      <c r="N68" s="6">
        <v>100</v>
      </c>
    </row>
    <row r="69" spans="1:14" ht="15.75" x14ac:dyDescent="0.25">
      <c r="A69" s="29" t="s">
        <v>42</v>
      </c>
      <c r="B69" s="30"/>
      <c r="D69" s="6">
        <v>100</v>
      </c>
      <c r="E69" s="37">
        <f t="shared" ref="E69:N73" si="3">IF($B$18&gt;IF(IF(E$68*$B$17&gt;$B$9,(($B$15-$B$14)*$D69*$B$1)/((E$68*$B$17)-$B$9),"")="","",(E$68*IF($B$16*$B$17&gt;$B$9,(($B$15-$B$14)*$D69*$B$1)/((E$68*$B$17)-$B$9),""))/($B$3/$B$17)),($B$9*24/$B$3/$B$17)/IF(IF(E$68*$B$17&gt;$B$9,(($B$15-$B$14)*$D69*$B$1)/((E$68*$B$17)-$B$9),"")="","",(E$68*IF(E$68*$B$17&gt;$B$9,(($B$15-$B$14)*$D69*$B$1)/((E$68*$B$17)-$B$9),""))/($B$3/$B$17)),($B$9*24/$B$3/$B$17)/$B$18)</f>
        <v>1.2</v>
      </c>
      <c r="F69" s="37">
        <f t="shared" si="3"/>
        <v>9.8742857142854312</v>
      </c>
      <c r="G69" s="37">
        <f t="shared" si="3"/>
        <v>19.748571428570862</v>
      </c>
      <c r="H69" s="37">
        <f t="shared" si="3"/>
        <v>29.622857142856297</v>
      </c>
      <c r="I69" s="37">
        <f t="shared" si="3"/>
        <v>34.559999999999008</v>
      </c>
      <c r="J69" s="37">
        <f t="shared" si="3"/>
        <v>37.522285714284642</v>
      </c>
      <c r="K69" s="37">
        <f t="shared" si="3"/>
        <v>40.907755102039644</v>
      </c>
      <c r="L69" s="37">
        <f t="shared" si="3"/>
        <v>41.965714285713084</v>
      </c>
      <c r="M69" s="37">
        <f t="shared" si="3"/>
        <v>42.788571428570208</v>
      </c>
      <c r="N69" s="37">
        <f t="shared" si="3"/>
        <v>43.446857142855897</v>
      </c>
    </row>
    <row r="70" spans="1:14" x14ac:dyDescent="0.25">
      <c r="A70" s="13" t="s">
        <v>25</v>
      </c>
      <c r="B70" s="32">
        <v>10</v>
      </c>
      <c r="D70" s="6">
        <v>500</v>
      </c>
      <c r="E70" s="37">
        <f t="shared" si="3"/>
        <v>1.2</v>
      </c>
      <c r="F70" s="37">
        <f t="shared" si="3"/>
        <v>1.9748571428570862</v>
      </c>
      <c r="G70" s="37">
        <f t="shared" si="3"/>
        <v>3.9497142857141725</v>
      </c>
      <c r="H70" s="37">
        <f t="shared" si="3"/>
        <v>5.9245714285712605</v>
      </c>
      <c r="I70" s="37">
        <f t="shared" si="3"/>
        <v>6.9119999999998027</v>
      </c>
      <c r="J70" s="37">
        <f t="shared" si="3"/>
        <v>7.5044571428569267</v>
      </c>
      <c r="K70" s="37">
        <f t="shared" si="3"/>
        <v>8.1815510204079285</v>
      </c>
      <c r="L70" s="37">
        <f t="shared" si="3"/>
        <v>8.3931428571426174</v>
      </c>
      <c r="M70" s="37">
        <f t="shared" si="3"/>
        <v>8.5577142857140398</v>
      </c>
      <c r="N70" s="37">
        <f t="shared" si="3"/>
        <v>8.6893714285711798</v>
      </c>
    </row>
    <row r="71" spans="1:14" x14ac:dyDescent="0.25">
      <c r="A71" s="13" t="s">
        <v>24</v>
      </c>
      <c r="B71" s="32">
        <v>40</v>
      </c>
      <c r="D71" s="6">
        <f>D70+500</f>
        <v>1000</v>
      </c>
      <c r="E71" s="37">
        <f t="shared" si="3"/>
        <v>1.2</v>
      </c>
      <c r="F71" s="37">
        <f t="shared" si="3"/>
        <v>1.2</v>
      </c>
      <c r="G71" s="37">
        <f t="shared" si="3"/>
        <v>1.9748571428570862</v>
      </c>
      <c r="H71" s="37">
        <f t="shared" si="3"/>
        <v>2.9622857142856303</v>
      </c>
      <c r="I71" s="37">
        <f t="shared" si="3"/>
        <v>3.4559999999999014</v>
      </c>
      <c r="J71" s="37">
        <f t="shared" si="3"/>
        <v>3.7522285714284633</v>
      </c>
      <c r="K71" s="37">
        <f t="shared" si="3"/>
        <v>4.0907755102039642</v>
      </c>
      <c r="L71" s="37">
        <f t="shared" si="3"/>
        <v>4.1965714285713087</v>
      </c>
      <c r="M71" s="37">
        <f t="shared" si="3"/>
        <v>4.2788571428570199</v>
      </c>
      <c r="N71" s="37">
        <f t="shared" si="3"/>
        <v>4.3446857142855899</v>
      </c>
    </row>
    <row r="72" spans="1:14" x14ac:dyDescent="0.25">
      <c r="A72" s="13" t="s">
        <v>22</v>
      </c>
      <c r="B72" s="11">
        <f>B16/B70</f>
        <v>8</v>
      </c>
      <c r="D72" s="6">
        <f t="shared" ref="D72:D73" si="4">D71+500</f>
        <v>1500</v>
      </c>
      <c r="E72" s="37">
        <f t="shared" si="3"/>
        <v>1.2</v>
      </c>
      <c r="F72" s="37">
        <f t="shared" si="3"/>
        <v>1.2</v>
      </c>
      <c r="G72" s="37">
        <f t="shared" si="3"/>
        <v>1.316571428571391</v>
      </c>
      <c r="H72" s="37">
        <f t="shared" si="3"/>
        <v>1.9748571428570862</v>
      </c>
      <c r="I72" s="37">
        <f t="shared" si="3"/>
        <v>2.3039999999999341</v>
      </c>
      <c r="J72" s="37">
        <f t="shared" si="3"/>
        <v>2.5014857142856424</v>
      </c>
      <c r="K72" s="37">
        <f t="shared" si="3"/>
        <v>2.7271836734693098</v>
      </c>
      <c r="L72" s="37">
        <f t="shared" si="3"/>
        <v>2.7977142857142057</v>
      </c>
      <c r="M72" s="37">
        <f t="shared" si="3"/>
        <v>2.8525714285713475</v>
      </c>
      <c r="N72" s="37">
        <f t="shared" si="3"/>
        <v>2.8964571428570598</v>
      </c>
    </row>
    <row r="73" spans="1:14" x14ac:dyDescent="0.25">
      <c r="A73" s="13" t="s">
        <v>23</v>
      </c>
      <c r="B73" s="11">
        <f>B72/(3.14*(B71/1000))</f>
        <v>63.694267515923556</v>
      </c>
      <c r="D73" s="6">
        <f t="shared" si="4"/>
        <v>2000</v>
      </c>
      <c r="E73" s="37">
        <f t="shared" si="3"/>
        <v>1.2</v>
      </c>
      <c r="F73" s="37">
        <f t="shared" si="3"/>
        <v>1.2</v>
      </c>
      <c r="G73" s="37">
        <f t="shared" si="3"/>
        <v>1.2</v>
      </c>
      <c r="H73" s="37">
        <f t="shared" si="3"/>
        <v>1.4811428571428151</v>
      </c>
      <c r="I73" s="37">
        <f t="shared" si="3"/>
        <v>1.7279999999999507</v>
      </c>
      <c r="J73" s="37">
        <f t="shared" si="3"/>
        <v>1.8761142857142317</v>
      </c>
      <c r="K73" s="37">
        <f t="shared" si="3"/>
        <v>2.0453877551019821</v>
      </c>
      <c r="L73" s="37">
        <f t="shared" si="3"/>
        <v>2.0982857142856544</v>
      </c>
      <c r="M73" s="37">
        <f t="shared" si="3"/>
        <v>2.13942857142851</v>
      </c>
      <c r="N73" s="37">
        <f t="shared" si="3"/>
        <v>2.172342857142795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D7:I7"/>
    <mergeCell ref="A29:B29"/>
    <mergeCell ref="A8:B8"/>
    <mergeCell ref="D66:N66"/>
    <mergeCell ref="D67:N67"/>
    <mergeCell ref="A23:B23"/>
    <mergeCell ref="E26:F26"/>
    <mergeCell ref="A43:B43"/>
    <mergeCell ref="D8:I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A1:O242"/>
  <sheetViews>
    <sheetView topLeftCell="A2" workbookViewId="0">
      <selection activeCell="I17" sqref="I17"/>
    </sheetView>
  </sheetViews>
  <sheetFormatPr defaultRowHeight="15" x14ac:dyDescent="0.25"/>
  <cols>
    <col min="3" max="3" width="17.7109375" customWidth="1"/>
    <col min="4" max="4" width="6.85546875" customWidth="1"/>
    <col min="5" max="5" width="13.28515625" customWidth="1"/>
    <col min="6" max="6" width="17.85546875" customWidth="1"/>
    <col min="7" max="8" width="14.5703125" customWidth="1"/>
    <col min="9" max="9" width="17.5703125" customWidth="1"/>
    <col min="10" max="11" width="13.5703125" customWidth="1"/>
    <col min="12" max="12" width="12" bestFit="1" customWidth="1"/>
    <col min="13" max="13" width="15.85546875" bestFit="1" customWidth="1"/>
    <col min="14" max="14" width="16.42578125" bestFit="1" customWidth="1"/>
    <col min="16" max="16" width="7.28515625" customWidth="1"/>
  </cols>
  <sheetData>
    <row r="1" spans="1:15" ht="75.75" thickBot="1" x14ac:dyDescent="0.3">
      <c r="A1" t="s">
        <v>67</v>
      </c>
      <c r="B1" t="s">
        <v>53</v>
      </c>
      <c r="C1" t="s">
        <v>55</v>
      </c>
      <c r="E1" s="80" t="s">
        <v>64</v>
      </c>
      <c r="F1" s="81" t="s">
        <v>66</v>
      </c>
      <c r="G1" s="81" t="s">
        <v>65</v>
      </c>
      <c r="H1" s="58"/>
      <c r="I1" s="79" t="s">
        <v>54</v>
      </c>
      <c r="J1" s="79" t="s">
        <v>61</v>
      </c>
      <c r="K1" s="79" t="s">
        <v>62</v>
      </c>
      <c r="L1" s="79" t="s">
        <v>56</v>
      </c>
      <c r="M1" s="79" t="s">
        <v>57</v>
      </c>
      <c r="N1" s="79" t="s">
        <v>58</v>
      </c>
      <c r="O1" s="52" t="s">
        <v>73</v>
      </c>
    </row>
    <row r="2" spans="1:15" ht="15.75" thickBot="1" x14ac:dyDescent="0.3">
      <c r="A2" s="53">
        <f>IF(C2="","",MAX($A$1:A1)+1)</f>
        <v>1</v>
      </c>
      <c r="B2" s="25">
        <v>0</v>
      </c>
      <c r="C2" s="53">
        <f>IF(ISNA(VLOOKUP(B2,$J$2:$M$11,4,FALSE)),IF(ISNA(VLOOKUP(B2,$K$2:$N$11,4,FALSE)),"",VLOOKUP(B2,$K$2:$N$11,4,FALSE)),VLOOKUP(B2,$J$2:$M$11,4,FALSE))</f>
        <v>75.311175847455374</v>
      </c>
      <c r="E2" s="59"/>
      <c r="F2" s="60"/>
      <c r="H2" s="57" t="s">
        <v>70</v>
      </c>
      <c r="I2" s="63"/>
      <c r="J2" s="62">
        <v>0</v>
      </c>
      <c r="M2" s="67">
        <f>M11</f>
        <v>75.311175847455374</v>
      </c>
      <c r="N2" s="61"/>
      <c r="O2" s="62"/>
    </row>
    <row r="3" spans="1:15" x14ac:dyDescent="0.25">
      <c r="A3" s="53" t="str">
        <f>IF(C3="","",MAX($A$1:A2)+1)</f>
        <v/>
      </c>
      <c r="B3" s="65">
        <v>0.1</v>
      </c>
      <c r="C3" s="53" t="str">
        <f t="shared" ref="C3:C66" si="0">IF(ISNA(VLOOKUP(B3,$J$2:$M$11,4,FALSE)),IF(ISNA(VLOOKUP(B3,$K$2:$N$11,4,FALSE)),"",VLOOKUP(B3,$K$2:$N$11,4,FALSE)),VLOOKUP(B3,$J$2:$M$11,4,FALSE))</f>
        <v/>
      </c>
      <c r="E3" s="59">
        <f>Теплоакумулятор!$B$9*(L3/(Теплоакумулятор!$B$16/(Теплоакумулятор!$B$3*Теплоакумулятор!$B$17)))</f>
        <v>13.5</v>
      </c>
      <c r="F3" s="60">
        <f>L3*Теплоакумулятор!$B$3*Теплоакумулятор!$B$17-Теплоакумулятор!$B$9*(L3/(Теплоакумулятор!$B$16/(Теплоакумулятор!$B$3*Теплоакумулятор!$B$17)))</f>
        <v>106.5</v>
      </c>
      <c r="G3" s="68">
        <f>(J3-J2)*Теплоакумулятор!$B$9</f>
        <v>72</v>
      </c>
      <c r="H3" s="60"/>
      <c r="I3" s="70">
        <v>1</v>
      </c>
      <c r="J3" s="82">
        <f>Теплоакумулятор!E10</f>
        <v>8</v>
      </c>
      <c r="K3" s="54">
        <f>ROUND(L3/(Теплоакумулятор!$B$16/(Теплоакумулятор!$B$3*Теплоакумулятор!$B$17))+J3,1)</f>
        <v>9.5</v>
      </c>
      <c r="L3" s="83">
        <f>Теплоакумулятор!G10</f>
        <v>40</v>
      </c>
      <c r="M3" s="91">
        <f>Теплоакумулятор!H10</f>
        <v>40</v>
      </c>
      <c r="N3" s="37">
        <f>IFERROR(M3+F3/(Теплоакумулятор!$B$48*Теплоакумулятор!$B$1),"")</f>
        <v>73.845338983048691</v>
      </c>
      <c r="O3" s="87">
        <f>24-MAX(K3:K10)+J3</f>
        <v>11.3</v>
      </c>
    </row>
    <row r="4" spans="1:15" x14ac:dyDescent="0.25">
      <c r="A4" s="53" t="str">
        <f>IF(C4="","",MAX($A$1:A3)+1)</f>
        <v/>
      </c>
      <c r="B4" s="65">
        <v>0.2</v>
      </c>
      <c r="C4" s="53" t="str">
        <f t="shared" si="0"/>
        <v/>
      </c>
      <c r="E4" s="59">
        <f>Теплоакумулятор!$B$9*(L4/(Теплоакумулятор!$B$16/(Теплоакумулятор!$B$3*Теплоакумулятор!$B$17)))</f>
        <v>15.1875</v>
      </c>
      <c r="F4" s="60">
        <f>L4*Теплоакумулятор!$B$3*Теплоакумулятор!$B$17-Теплоакумулятор!$B$9*(L4/(Теплоакумулятор!$B$16/(Теплоакумулятор!$B$3*Теплоакумулятор!$B$17)))</f>
        <v>119.8125</v>
      </c>
      <c r="G4" s="66">
        <f>IF(J4=0,"",(J4-MAX($K$2:$K3))*Теплоакумулятор!$B$9)</f>
        <v>85.5</v>
      </c>
      <c r="H4" s="60"/>
      <c r="I4" s="72">
        <v>2</v>
      </c>
      <c r="J4" s="82">
        <f>Теплоакумулятор!E11</f>
        <v>19</v>
      </c>
      <c r="K4" s="54">
        <f>ROUND(L4/(Теплоакумулятор!$B$16/(Теплоакумулятор!$B$3*Теплоакумулятор!$B$17))+J4,1)</f>
        <v>20.7</v>
      </c>
      <c r="L4" s="83">
        <f>Теплоакумулятор!G11</f>
        <v>45</v>
      </c>
      <c r="M4" s="77">
        <f>IFERROR(N3-G4/(Теплоакумулятор!$B$48*Теплоакумулятор!$B$1),"")</f>
        <v>46.67372881355891</v>
      </c>
      <c r="N4" s="37">
        <f>IFERROR(M4+F4/(Теплоакумулятор!$B$48*Теплоакумулятор!$B$1),"")</f>
        <v>84.749735169488673</v>
      </c>
      <c r="O4" s="86">
        <f>IF(L4&gt;0,J4-J3,"")</f>
        <v>11</v>
      </c>
    </row>
    <row r="5" spans="1:15" x14ac:dyDescent="0.25">
      <c r="A5" s="53" t="str">
        <f>IF(C5="","",MAX($A$1:A4)+1)</f>
        <v/>
      </c>
      <c r="B5" s="65">
        <v>0.3</v>
      </c>
      <c r="C5" s="53" t="str">
        <f t="shared" si="0"/>
        <v/>
      </c>
      <c r="E5" s="59">
        <f>Теплоакумулятор!$B$9*(L5/(Теплоакумулятор!$B$16/(Теплоакумулятор!$B$3*Теплоакумулятор!$B$17)))</f>
        <v>0</v>
      </c>
      <c r="F5" s="60">
        <f>L5*Теплоакумулятор!$B$3*Теплоакумулятор!$B$17-Теплоакумулятор!$B$9*(L5/(Теплоакумулятор!$B$16/(Теплоакумулятор!$B$3*Теплоакумулятор!$B$17)))</f>
        <v>0</v>
      </c>
      <c r="G5" s="66" t="str">
        <f>IF(J5=0,"",(J5-MAX($K$2:$K4))*Теплоакумулятор!$B$9)</f>
        <v/>
      </c>
      <c r="H5" s="60"/>
      <c r="I5" s="72">
        <v>3</v>
      </c>
      <c r="J5" s="82">
        <f>Теплоакумулятор!E12</f>
        <v>0</v>
      </c>
      <c r="K5" s="54">
        <f>ROUND(L5/(Теплоакумулятор!$B$16/(Теплоакумулятор!$B$3*Теплоакумулятор!$B$17))+J5,1)</f>
        <v>0</v>
      </c>
      <c r="L5" s="83">
        <f>Теплоакумулятор!G12</f>
        <v>0</v>
      </c>
      <c r="M5" s="77" t="str">
        <f>IFERROR(N4-G5/(Теплоакумулятор!$B$48*Теплоакумулятор!$B$1),"")</f>
        <v/>
      </c>
      <c r="N5" s="37" t="str">
        <f>IFERROR(M5+F5/(Теплоакумулятор!$B$48*Теплоакумулятор!$B$1),"")</f>
        <v/>
      </c>
      <c r="O5" s="86" t="str">
        <f t="shared" ref="O5:O11" si="1">IF(L5&gt;0,J5-J4,"")</f>
        <v/>
      </c>
    </row>
    <row r="6" spans="1:15" x14ac:dyDescent="0.25">
      <c r="A6" s="53" t="str">
        <f>IF(C6="","",MAX($A$1:A5)+1)</f>
        <v/>
      </c>
      <c r="B6" s="65">
        <v>0.4</v>
      </c>
      <c r="C6" s="53" t="str">
        <f t="shared" si="0"/>
        <v/>
      </c>
      <c r="E6" s="59">
        <f>Теплоакумулятор!$B$9*(L6/(Теплоакумулятор!$B$16/(Теплоакумулятор!$B$3*Теплоакумулятор!$B$17)))</f>
        <v>0</v>
      </c>
      <c r="F6" s="60">
        <f>L6*Теплоакумулятор!$B$3*Теплоакумулятор!$B$17-Теплоакумулятор!$B$9*(L6/(Теплоакумулятор!$B$16/(Теплоакумулятор!$B$3*Теплоакумулятор!$B$17)))</f>
        <v>0</v>
      </c>
      <c r="G6" s="66" t="str">
        <f>IF(J6=0,"",(J6-MAX($K$2:$K5))*Теплоакумулятор!$B$9)</f>
        <v/>
      </c>
      <c r="H6" s="60"/>
      <c r="I6" s="72">
        <v>4</v>
      </c>
      <c r="J6" s="82">
        <f>Теплоакумулятор!E13</f>
        <v>0</v>
      </c>
      <c r="K6" s="54">
        <f>ROUND(L6/(Теплоакумулятор!$B$16/(Теплоакумулятор!$B$3*Теплоакумулятор!$B$17))+J6,1)</f>
        <v>0</v>
      </c>
      <c r="L6" s="83">
        <f>Теплоакумулятор!G13</f>
        <v>0</v>
      </c>
      <c r="M6" s="77" t="str">
        <f>IFERROR(N5-G6/(Теплоакумулятор!$B$48*Теплоакумулятор!$B$1),"")</f>
        <v/>
      </c>
      <c r="N6" s="37" t="str">
        <f>IFERROR(M6+F6/(Теплоакумулятор!$B$48*Теплоакумулятор!$B$1),"")</f>
        <v/>
      </c>
      <c r="O6" s="86" t="str">
        <f t="shared" si="1"/>
        <v/>
      </c>
    </row>
    <row r="7" spans="1:15" x14ac:dyDescent="0.25">
      <c r="A7" s="53" t="str">
        <f>IF(C7="","",MAX($A$1:A6)+1)</f>
        <v/>
      </c>
      <c r="B7" s="65">
        <v>0.5</v>
      </c>
      <c r="C7" s="53" t="str">
        <f t="shared" si="0"/>
        <v/>
      </c>
      <c r="E7" s="59">
        <f>Теплоакумулятор!$B$9*(L7/(Теплоакумулятор!$B$16/(Теплоакумулятор!$B$3*Теплоакумулятор!$B$17)))</f>
        <v>0</v>
      </c>
      <c r="F7" s="60">
        <f>L7*Теплоакумулятор!$B$3*Теплоакумулятор!$B$17-Теплоакумулятор!$B$9*(L7/(Теплоакумулятор!$B$16/(Теплоакумулятор!$B$3*Теплоакумулятор!$B$17)))</f>
        <v>0</v>
      </c>
      <c r="G7" s="66" t="str">
        <f>IF(J7=0,"",(J7-MAX($K$2:$K6))*Теплоакумулятор!$B$9)</f>
        <v/>
      </c>
      <c r="H7" s="60"/>
      <c r="I7" s="72">
        <v>5</v>
      </c>
      <c r="J7" s="82">
        <f>Теплоакумулятор!E14</f>
        <v>0</v>
      </c>
      <c r="K7" s="54">
        <f>ROUND(L7/(Теплоакумулятор!$B$16/(Теплоакумулятор!$B$3*Теплоакумулятор!$B$17))+J7,1)</f>
        <v>0</v>
      </c>
      <c r="L7" s="83">
        <f>Теплоакумулятор!G14</f>
        <v>0</v>
      </c>
      <c r="M7" s="77" t="str">
        <f>IFERROR(N6-G7/(Теплоакумулятор!$B$48*Теплоакумулятор!$B$1),"")</f>
        <v/>
      </c>
      <c r="N7" s="37" t="str">
        <f>IFERROR(M7+F7/(Теплоакумулятор!$B$48*Теплоакумулятор!$B$1),"")</f>
        <v/>
      </c>
      <c r="O7" s="86" t="str">
        <f t="shared" si="1"/>
        <v/>
      </c>
    </row>
    <row r="8" spans="1:15" x14ac:dyDescent="0.25">
      <c r="A8" s="53" t="str">
        <f>IF(C8="","",MAX($A$1:A7)+1)</f>
        <v/>
      </c>
      <c r="B8" s="65">
        <v>0.6</v>
      </c>
      <c r="C8" s="53" t="str">
        <f t="shared" si="0"/>
        <v/>
      </c>
      <c r="E8" s="59">
        <f>Теплоакумулятор!$B$9*(L8/(Теплоакумулятор!$B$16/(Теплоакумулятор!$B$3*Теплоакумулятор!$B$17)))</f>
        <v>0</v>
      </c>
      <c r="F8" s="60">
        <f>L8*Теплоакумулятор!$B$3*Теплоакумулятор!$B$17-Теплоакумулятор!$B$9*(L8/(Теплоакумулятор!$B$16/(Теплоакумулятор!$B$3*Теплоакумулятор!$B$17)))</f>
        <v>0</v>
      </c>
      <c r="G8" s="66" t="str">
        <f>IF(J8=0,"",(J8-MAX($K$2:$K7))*Теплоакумулятор!$B$9)</f>
        <v/>
      </c>
      <c r="H8" s="60"/>
      <c r="I8" s="72">
        <v>6</v>
      </c>
      <c r="J8" s="82">
        <f>Теплоакумулятор!E15</f>
        <v>0</v>
      </c>
      <c r="K8" s="54">
        <f>ROUND(L8/(Теплоакумулятор!$B$16/(Теплоакумулятор!$B$3*Теплоакумулятор!$B$17))+J8,1)</f>
        <v>0</v>
      </c>
      <c r="L8" s="83">
        <f>Теплоакумулятор!G15</f>
        <v>0</v>
      </c>
      <c r="M8" s="77" t="str">
        <f>IFERROR(N7-G8/(Теплоакумулятор!$B$48*Теплоакумулятор!$B$1),"")</f>
        <v/>
      </c>
      <c r="N8" s="37" t="str">
        <f>IFERROR(M8+F8/(Теплоакумулятор!$B$48*Теплоакумулятор!$B$1),"")</f>
        <v/>
      </c>
      <c r="O8" s="86" t="str">
        <f t="shared" si="1"/>
        <v/>
      </c>
    </row>
    <row r="9" spans="1:15" x14ac:dyDescent="0.25">
      <c r="A9" s="53" t="str">
        <f>IF(C9="","",MAX($A$1:A8)+1)</f>
        <v/>
      </c>
      <c r="B9" s="65">
        <v>0.7</v>
      </c>
      <c r="C9" s="53" t="str">
        <f t="shared" si="0"/>
        <v/>
      </c>
      <c r="E9" s="59">
        <f>Теплоакумулятор!$B$9*(L9/(Теплоакумулятор!$B$16/(Теплоакумулятор!$B$3*Теплоакумулятор!$B$17)))</f>
        <v>0</v>
      </c>
      <c r="F9" s="60">
        <f>L9*Теплоакумулятор!$B$3*Теплоакумулятор!$B$17-Теплоакумулятор!$B$9*(L9/(Теплоакумулятор!$B$16/(Теплоакумулятор!$B$3*Теплоакумулятор!$B$17)))</f>
        <v>0</v>
      </c>
      <c r="G9" s="66" t="str">
        <f>IF(J9=0,"",(J9-MAX($K$2:$K8))*Теплоакумулятор!$B$9)</f>
        <v/>
      </c>
      <c r="H9" s="60"/>
      <c r="I9" s="72">
        <v>7</v>
      </c>
      <c r="J9" s="82">
        <f>Теплоакумулятор!E16</f>
        <v>0</v>
      </c>
      <c r="K9" s="54">
        <f>ROUND(L9/(Теплоакумулятор!$B$16/(Теплоакумулятор!$B$3*Теплоакумулятор!$B$17))+J9,1)</f>
        <v>0</v>
      </c>
      <c r="L9" s="83">
        <f>Теплоакумулятор!G16</f>
        <v>0</v>
      </c>
      <c r="M9" s="77" t="str">
        <f>IFERROR(N8-G9/(Теплоакумулятор!$B$48*Теплоакумулятор!$B$1),"")</f>
        <v/>
      </c>
      <c r="N9" s="37" t="str">
        <f>IFERROR(M9+F9/(Теплоакумулятор!$B$48*Теплоакумулятор!$B$1),"")</f>
        <v/>
      </c>
      <c r="O9" s="86" t="str">
        <f t="shared" si="1"/>
        <v/>
      </c>
    </row>
    <row r="10" spans="1:15" ht="15.75" thickBot="1" x14ac:dyDescent="0.3">
      <c r="A10" s="53" t="str">
        <f>IF(C10="","",MAX($A$1:A9)+1)</f>
        <v/>
      </c>
      <c r="B10" s="65">
        <v>0.8</v>
      </c>
      <c r="C10" s="53" t="str">
        <f t="shared" si="0"/>
        <v/>
      </c>
      <c r="E10" s="59">
        <f>Теплоакумулятор!$B$9*(L10/(Теплоакумулятор!$B$16/(Теплоакумулятор!$B$3*Теплоакумулятор!$B$17)))</f>
        <v>0</v>
      </c>
      <c r="F10" s="60">
        <f>L10*Теплоакумулятор!$B$3*Теплоакумулятор!$B$17-Теплоакумулятор!$B$9*(L10/(Теплоакумулятор!$B$16/(Теплоакумулятор!$B$3*Теплоакумулятор!$B$17)))</f>
        <v>0</v>
      </c>
      <c r="G10" s="66" t="str">
        <f>IF(J10=0,"",(J10-MAX($K$2:$K9))*Теплоакумулятор!$B$9)</f>
        <v/>
      </c>
      <c r="H10" s="60"/>
      <c r="I10" s="74">
        <v>8</v>
      </c>
      <c r="J10" s="82">
        <f>Теплоакумулятор!E17</f>
        <v>0</v>
      </c>
      <c r="K10" s="54">
        <f>ROUND(L10/(Теплоакумулятор!$B$16/(Теплоакумулятор!$B$3*Теплоакумулятор!$B$17))+J10,1)</f>
        <v>0</v>
      </c>
      <c r="L10" s="83">
        <f>Теплоакумулятор!G17</f>
        <v>0</v>
      </c>
      <c r="M10" s="77" t="str">
        <f>IFERROR(N9-G10/(Теплоакумулятор!$B$48*Теплоакумулятор!$B$1),"")</f>
        <v/>
      </c>
      <c r="N10" s="37" t="str">
        <f>IFERROR(M10+F10/(Теплоакумулятор!$B$48*Теплоакумулятор!$B$1),"")</f>
        <v/>
      </c>
      <c r="O10" s="86" t="str">
        <f t="shared" si="1"/>
        <v/>
      </c>
    </row>
    <row r="11" spans="1:15" ht="15.75" thickBot="1" x14ac:dyDescent="0.3">
      <c r="A11" s="53" t="str">
        <f>IF(C11="","",MAX($A$1:A10)+1)</f>
        <v/>
      </c>
      <c r="B11" s="65">
        <v>0.9</v>
      </c>
      <c r="C11" s="53" t="str">
        <f t="shared" si="0"/>
        <v/>
      </c>
      <c r="E11" s="59">
        <f>Теплоакумулятор!$B$9*(L11/(Теплоакумулятор!$B$16/(Теплоакумулятор!$B$3*Теплоакумулятор!$B$17)))</f>
        <v>0</v>
      </c>
      <c r="F11" s="60">
        <f>L11*Теплоакумулятор!$B$3*Теплоакумулятор!$B$17-Теплоакумулятор!$B$9*(L11/(Теплоакумулятор!$B$16/(Теплоакумулятор!$B$3*Теплоакумулятор!$B$17)))</f>
        <v>0</v>
      </c>
      <c r="G11" s="66">
        <f>IF(J11=0,"",(J11-MAX($K$2:$K10))*Теплоакумулятор!$B$9)</f>
        <v>29.700000000000006</v>
      </c>
      <c r="H11" s="57" t="s">
        <v>69</v>
      </c>
      <c r="I11" s="63"/>
      <c r="J11" s="69">
        <v>24</v>
      </c>
      <c r="L11" s="61"/>
      <c r="M11" s="76">
        <f>VLOOKUP(MAX(K3:K10),K3:N10,4,FALSE)-G11/(Теплоакумулятор!$B$48*Теплоакумулятор!$B$1)</f>
        <v>75.311175847455374</v>
      </c>
      <c r="N11" s="90">
        <f>(VLOOKUP(MAX(K3:K10),K3:N10,4,FALSE)-Теплоакумулятор!$B$14)*Теплоакумулятор!B48*Теплоакумулятор!B1</f>
        <v>140.81250000000003</v>
      </c>
      <c r="O11" s="86" t="str">
        <f t="shared" si="1"/>
        <v/>
      </c>
    </row>
    <row r="12" spans="1:15" x14ac:dyDescent="0.25">
      <c r="A12" s="53" t="str">
        <f>IF(C12="","",MAX($A$1:A11)+1)</f>
        <v/>
      </c>
      <c r="B12" s="65">
        <v>1</v>
      </c>
      <c r="C12" s="53" t="str">
        <f t="shared" si="0"/>
        <v/>
      </c>
      <c r="E12" s="22"/>
      <c r="F12" s="61"/>
      <c r="G12" s="61"/>
      <c r="H12" s="61"/>
      <c r="I12" s="61"/>
      <c r="N12" s="61"/>
      <c r="O12" s="62"/>
    </row>
    <row r="13" spans="1:15" x14ac:dyDescent="0.25">
      <c r="A13" s="53" t="str">
        <f>IF(C13="","",MAX($A$1:A12)+1)</f>
        <v/>
      </c>
      <c r="B13" s="65">
        <v>1.1000000000000001</v>
      </c>
      <c r="C13" s="53" t="str">
        <f t="shared" si="0"/>
        <v/>
      </c>
    </row>
    <row r="14" spans="1:15" ht="15.75" thickBot="1" x14ac:dyDescent="0.3">
      <c r="A14" s="53" t="str">
        <f>IF(C14="","",MAX($A$1:A13)+1)</f>
        <v/>
      </c>
      <c r="B14" s="65">
        <v>1.2</v>
      </c>
      <c r="C14" s="53" t="str">
        <f t="shared" si="0"/>
        <v/>
      </c>
      <c r="E14" s="24"/>
      <c r="F14" s="63"/>
      <c r="G14" s="63"/>
      <c r="H14" s="63"/>
      <c r="I14" s="63"/>
      <c r="J14" s="63"/>
      <c r="K14" s="63"/>
      <c r="L14" s="63"/>
      <c r="M14" s="63"/>
      <c r="N14" s="63"/>
      <c r="O14" s="64"/>
    </row>
    <row r="15" spans="1:15" x14ac:dyDescent="0.25">
      <c r="A15" s="53" t="str">
        <f>IF(C15="","",MAX($A$1:A14)+1)</f>
        <v/>
      </c>
      <c r="B15" s="65">
        <v>1.3</v>
      </c>
      <c r="C15" s="53" t="str">
        <f t="shared" si="0"/>
        <v/>
      </c>
    </row>
    <row r="16" spans="1:15" x14ac:dyDescent="0.25">
      <c r="A16" s="53" t="str">
        <f>IF(C16="","",MAX($A$1:A15)+1)</f>
        <v/>
      </c>
      <c r="B16" s="65">
        <v>1.4</v>
      </c>
      <c r="C16" s="53" t="str">
        <f t="shared" si="0"/>
        <v/>
      </c>
    </row>
    <row r="17" spans="1:10" x14ac:dyDescent="0.25">
      <c r="A17" s="53" t="str">
        <f>IF(C17="","",MAX($A$1:A16)+1)</f>
        <v/>
      </c>
      <c r="B17" s="65">
        <v>1.5</v>
      </c>
      <c r="C17" s="53" t="str">
        <f t="shared" si="0"/>
        <v/>
      </c>
      <c r="F17">
        <f ca="1">INDIRECT(CONCATENATE("Расчеты!$I$2:$I$",241-COUNTIF($C$2:$C$1900,"&lt;""")+19))</f>
        <v>0</v>
      </c>
    </row>
    <row r="18" spans="1:10" x14ac:dyDescent="0.25">
      <c r="A18" s="53" t="str">
        <f>IF(C18="","",MAX($A$1:A17)+1)</f>
        <v/>
      </c>
      <c r="B18" s="65">
        <v>1.6</v>
      </c>
      <c r="C18" s="53" t="str">
        <f t="shared" si="0"/>
        <v/>
      </c>
    </row>
    <row r="19" spans="1:10" x14ac:dyDescent="0.25">
      <c r="A19" s="53" t="str">
        <f>IF(C19="","",MAX($A$1:A18)+1)</f>
        <v/>
      </c>
      <c r="B19" s="65">
        <v>1.7</v>
      </c>
      <c r="C19" s="53" t="str">
        <f t="shared" si="0"/>
        <v/>
      </c>
      <c r="D19" t="s">
        <v>67</v>
      </c>
      <c r="E19" t="s">
        <v>68</v>
      </c>
      <c r="F19" t="s">
        <v>55</v>
      </c>
      <c r="G19" s="52" t="s">
        <v>59</v>
      </c>
      <c r="H19" s="52" t="s">
        <v>60</v>
      </c>
      <c r="I19" s="52" t="s">
        <v>74</v>
      </c>
      <c r="J19" s="52"/>
    </row>
    <row r="20" spans="1:10" x14ac:dyDescent="0.25">
      <c r="A20" s="53" t="str">
        <f>IF(C20="","",MAX($A$1:A19)+1)</f>
        <v/>
      </c>
      <c r="B20" s="65">
        <v>1.8</v>
      </c>
      <c r="C20" s="53" t="str">
        <f t="shared" si="0"/>
        <v/>
      </c>
      <c r="D20">
        <v>1</v>
      </c>
      <c r="E20" s="56">
        <f>IFERROR(VLOOKUP(D20,$A$2:$C$900,2,FALSE),"")</f>
        <v>0</v>
      </c>
      <c r="F20" s="78">
        <f>IFERROR(VLOOKUP(D20,$A$2:$C$900,3,FALSE),"")</f>
        <v>75.311175847455374</v>
      </c>
      <c r="G20" s="55">
        <f>IF(Таблица2[[#This Row],[часы суток]]="","",Теплоакумулятор!$B$14)</f>
        <v>40</v>
      </c>
      <c r="H20" s="55">
        <f>IF(Таблица2[[#This Row],[часы суток]]="","",Теплоакумулятор!$B$15)</f>
        <v>90</v>
      </c>
    </row>
    <row r="21" spans="1:10" x14ac:dyDescent="0.25">
      <c r="A21" s="53" t="str">
        <f>IF(C21="","",MAX($A$1:A20)+1)</f>
        <v/>
      </c>
      <c r="B21" s="65">
        <v>1.9</v>
      </c>
      <c r="C21" s="53" t="str">
        <f t="shared" si="0"/>
        <v/>
      </c>
      <c r="D21">
        <v>2</v>
      </c>
      <c r="E21" s="56">
        <f t="shared" ref="E21:E25" si="2">IFERROR(VLOOKUP(D21,$A$2:$C$900,2,FALSE),"")</f>
        <v>8</v>
      </c>
      <c r="F21" s="78">
        <f t="shared" ref="F21:F25" si="3">IFERROR(VLOOKUP(D21,$A$2:$C$900,3,FALSE),"")</f>
        <v>40</v>
      </c>
      <c r="G21" s="55">
        <f>IF(Таблица2[[#This Row],[часы суток]]="","",Теплоакумулятор!$B$14)</f>
        <v>40</v>
      </c>
      <c r="H21" s="55">
        <f>IF(Таблица2[[#This Row],[часы суток]]="","",Теплоакумулятор!$B$15)</f>
        <v>90</v>
      </c>
      <c r="I21" s="104">
        <f>IF(ISNA(MATCH(E21,$J$3:$J$10,0)),"",F21)</f>
        <v>40</v>
      </c>
    </row>
    <row r="22" spans="1:10" x14ac:dyDescent="0.25">
      <c r="A22" s="53" t="str">
        <f>IF(C22="","",MAX($A$1:A21)+1)</f>
        <v/>
      </c>
      <c r="B22" s="65">
        <v>2</v>
      </c>
      <c r="C22" s="53" t="str">
        <f t="shared" si="0"/>
        <v/>
      </c>
      <c r="D22">
        <v>3</v>
      </c>
      <c r="E22" s="56">
        <f t="shared" si="2"/>
        <v>9.5</v>
      </c>
      <c r="F22" s="78">
        <f t="shared" si="3"/>
        <v>73.845338983048691</v>
      </c>
      <c r="G22" s="55">
        <f>IF(Таблица2[[#This Row],[часы суток]]="","",Теплоакумулятор!$B$14)</f>
        <v>40</v>
      </c>
      <c r="H22" s="55">
        <f>IF(Таблица2[[#This Row],[часы суток]]="","",Теплоакумулятор!$B$15)</f>
        <v>90</v>
      </c>
      <c r="I22" s="104" t="str">
        <f t="shared" ref="I22:I25" si="4">IF(ISNA(MATCH(E22,$J$3:$J$10,0)),"",F22)</f>
        <v/>
      </c>
    </row>
    <row r="23" spans="1:10" x14ac:dyDescent="0.25">
      <c r="A23" s="53" t="str">
        <f>IF(C23="","",MAX($A$1:A22)+1)</f>
        <v/>
      </c>
      <c r="B23" s="65">
        <v>2.1</v>
      </c>
      <c r="C23" s="53" t="str">
        <f t="shared" si="0"/>
        <v/>
      </c>
      <c r="D23">
        <v>4</v>
      </c>
      <c r="E23" s="56">
        <f t="shared" si="2"/>
        <v>19</v>
      </c>
      <c r="F23" s="78">
        <f t="shared" si="3"/>
        <v>46.67372881355891</v>
      </c>
      <c r="G23" s="55">
        <f>IF(Таблица2[[#This Row],[часы суток]]="","",Теплоакумулятор!$B$14)</f>
        <v>40</v>
      </c>
      <c r="H23" s="55">
        <f>IF(Таблица2[[#This Row],[часы суток]]="","",Теплоакумулятор!$B$15)</f>
        <v>90</v>
      </c>
      <c r="I23" s="104">
        <f t="shared" si="4"/>
        <v>46.67372881355891</v>
      </c>
    </row>
    <row r="24" spans="1:10" x14ac:dyDescent="0.25">
      <c r="A24" s="53" t="str">
        <f>IF(C24="","",MAX($A$1:A23)+1)</f>
        <v/>
      </c>
      <c r="B24" s="65">
        <v>2.2000000000000002</v>
      </c>
      <c r="C24" s="53" t="str">
        <f t="shared" si="0"/>
        <v/>
      </c>
      <c r="D24">
        <v>5</v>
      </c>
      <c r="E24" s="56">
        <f t="shared" si="2"/>
        <v>20.7</v>
      </c>
      <c r="F24" s="78">
        <f t="shared" si="3"/>
        <v>84.749735169488673</v>
      </c>
      <c r="G24" s="55">
        <f>IF(Таблица2[[#This Row],[часы суток]]="","",Теплоакумулятор!$B$14)</f>
        <v>40</v>
      </c>
      <c r="H24" s="55">
        <f>IF(Таблица2[[#This Row],[часы суток]]="","",Теплоакумулятор!$B$15)</f>
        <v>90</v>
      </c>
      <c r="I24" s="104" t="str">
        <f t="shared" si="4"/>
        <v/>
      </c>
    </row>
    <row r="25" spans="1:10" x14ac:dyDescent="0.25">
      <c r="A25" s="53" t="str">
        <f>IF(C25="","",MAX($A$1:A24)+1)</f>
        <v/>
      </c>
      <c r="B25" s="65">
        <v>2.2999999999999998</v>
      </c>
      <c r="C25" s="53" t="str">
        <f t="shared" si="0"/>
        <v/>
      </c>
      <c r="D25">
        <v>6</v>
      </c>
      <c r="E25" s="56">
        <f t="shared" si="2"/>
        <v>24</v>
      </c>
      <c r="F25" s="78">
        <f t="shared" si="3"/>
        <v>75.311175847455374</v>
      </c>
      <c r="G25" s="55">
        <f>IF(Таблица2[[#This Row],[часы суток]]="","",Теплоакумулятор!$B$14)</f>
        <v>40</v>
      </c>
      <c r="H25" s="55">
        <f>IF(Таблица2[[#This Row],[часы суток]]="","",Теплоакумулятор!$B$15)</f>
        <v>90</v>
      </c>
      <c r="I25" s="104" t="str">
        <f t="shared" si="4"/>
        <v/>
      </c>
    </row>
    <row r="26" spans="1:10" x14ac:dyDescent="0.25">
      <c r="A26" s="53" t="str">
        <f>IF(C26="","",MAX($A$1:A25)+1)</f>
        <v/>
      </c>
      <c r="B26" s="65">
        <v>2.4</v>
      </c>
      <c r="C26" s="53" t="str">
        <f t="shared" si="0"/>
        <v/>
      </c>
      <c r="D26">
        <v>7</v>
      </c>
      <c r="E26" s="56" t="str">
        <f t="shared" ref="E26:E29" si="5">IFERROR(VLOOKUP(D26,$A$2:$C$900,2,FALSE),"")</f>
        <v/>
      </c>
      <c r="F26" s="78" t="str">
        <f t="shared" ref="F26:F29" si="6">IFERROR(VLOOKUP(D26,$A$2:$C$900,3,FALSE),"")</f>
        <v/>
      </c>
      <c r="G26" s="55" t="str">
        <f>IF(Таблица2[[#This Row],[часы суток]]="","",Теплоакумулятор!$B$14)</f>
        <v/>
      </c>
      <c r="H26" s="55" t="str">
        <f>IF(Таблица2[[#This Row],[часы суток]]="","",Теплоакумулятор!$B$15)</f>
        <v/>
      </c>
      <c r="I26" s="104" t="str">
        <f t="shared" ref="I26:I29" si="7">IF(ISNA(MATCH(E26,$J$3:$J$10,0)),"",F26)</f>
        <v/>
      </c>
    </row>
    <row r="27" spans="1:10" x14ac:dyDescent="0.25">
      <c r="A27" s="53" t="str">
        <f>IF(C27="","",MAX($A$1:A26)+1)</f>
        <v/>
      </c>
      <c r="B27" s="65">
        <v>2.5</v>
      </c>
      <c r="C27" s="53" t="str">
        <f t="shared" si="0"/>
        <v/>
      </c>
      <c r="D27">
        <v>8</v>
      </c>
      <c r="E27" s="56" t="str">
        <f t="shared" si="5"/>
        <v/>
      </c>
      <c r="F27" s="78" t="str">
        <f t="shared" si="6"/>
        <v/>
      </c>
      <c r="G27" s="55" t="str">
        <f>IF(Таблица2[[#This Row],[часы суток]]="","",Теплоакумулятор!$B$14)</f>
        <v/>
      </c>
      <c r="H27" s="55" t="str">
        <f>IF(Таблица2[[#This Row],[часы суток]]="","",Теплоакумулятор!$B$15)</f>
        <v/>
      </c>
      <c r="I27" s="104" t="str">
        <f t="shared" si="7"/>
        <v/>
      </c>
    </row>
    <row r="28" spans="1:10" x14ac:dyDescent="0.25">
      <c r="A28" s="53" t="str">
        <f>IF(C28="","",MAX($A$1:A27)+1)</f>
        <v/>
      </c>
      <c r="B28" s="65">
        <v>2.6</v>
      </c>
      <c r="C28" s="53" t="str">
        <f t="shared" si="0"/>
        <v/>
      </c>
      <c r="D28">
        <v>9</v>
      </c>
      <c r="E28" s="56" t="str">
        <f t="shared" si="5"/>
        <v/>
      </c>
      <c r="F28" s="78" t="str">
        <f t="shared" si="6"/>
        <v/>
      </c>
      <c r="G28" s="55" t="str">
        <f>IF(Таблица2[[#This Row],[часы суток]]="","",Теплоакумулятор!$B$14)</f>
        <v/>
      </c>
      <c r="H28" s="55" t="str">
        <f>IF(Таблица2[[#This Row],[часы суток]]="","",Теплоакумулятор!$B$15)</f>
        <v/>
      </c>
      <c r="I28" s="104" t="str">
        <f t="shared" si="7"/>
        <v/>
      </c>
    </row>
    <row r="29" spans="1:10" x14ac:dyDescent="0.25">
      <c r="A29" s="53" t="str">
        <f>IF(C29="","",MAX($A$1:A28)+1)</f>
        <v/>
      </c>
      <c r="B29" s="65">
        <v>2.7</v>
      </c>
      <c r="C29" s="53" t="str">
        <f t="shared" si="0"/>
        <v/>
      </c>
      <c r="D29">
        <v>10</v>
      </c>
      <c r="E29" s="56" t="str">
        <f t="shared" si="5"/>
        <v/>
      </c>
      <c r="F29" s="78" t="str">
        <f t="shared" si="6"/>
        <v/>
      </c>
      <c r="G29" s="55" t="str">
        <f>IF(Таблица2[[#This Row],[часы суток]]="","",Теплоакумулятор!$B$14)</f>
        <v/>
      </c>
      <c r="H29" s="55" t="str">
        <f>IF(Таблица2[[#This Row],[часы суток]]="","",Теплоакумулятор!$B$15)</f>
        <v/>
      </c>
      <c r="I29" s="104" t="str">
        <f t="shared" si="7"/>
        <v/>
      </c>
    </row>
    <row r="30" spans="1:10" x14ac:dyDescent="0.25">
      <c r="A30" s="53" t="str">
        <f>IF(C30="","",MAX($A$1:A29)+1)</f>
        <v/>
      </c>
      <c r="B30" s="65">
        <v>2.8</v>
      </c>
      <c r="C30" s="53" t="str">
        <f t="shared" si="0"/>
        <v/>
      </c>
      <c r="D30">
        <v>11</v>
      </c>
      <c r="E30" s="56" t="str">
        <f t="shared" ref="E30:E35" si="8">IFERROR(VLOOKUP(D30,$A$2:$C$900,2,FALSE),"")</f>
        <v/>
      </c>
      <c r="F30" s="78" t="str">
        <f t="shared" ref="F30:F35" si="9">IFERROR(VLOOKUP(D30,$A$2:$C$900,3,FALSE),"")</f>
        <v/>
      </c>
      <c r="G30" s="55" t="str">
        <f>IF(Таблица2[[#This Row],[часы суток]]="","",Теплоакумулятор!$B$14)</f>
        <v/>
      </c>
      <c r="H30" s="55" t="str">
        <f>IF(Таблица2[[#This Row],[часы суток]]="","",Теплоакумулятор!$B$15)</f>
        <v/>
      </c>
      <c r="I30" s="104" t="str">
        <f t="shared" ref="I30:I35" si="10">IF(ISNA(MATCH(E30,$J$3:$J$10,0)),"",F30)</f>
        <v/>
      </c>
    </row>
    <row r="31" spans="1:10" x14ac:dyDescent="0.25">
      <c r="A31" s="53" t="str">
        <f>IF(C31="","",MAX($A$1:A30)+1)</f>
        <v/>
      </c>
      <c r="B31" s="65">
        <v>2.9</v>
      </c>
      <c r="C31" s="53" t="str">
        <f t="shared" si="0"/>
        <v/>
      </c>
      <c r="D31">
        <v>12</v>
      </c>
      <c r="E31" s="56" t="str">
        <f t="shared" si="8"/>
        <v/>
      </c>
      <c r="F31" s="78" t="str">
        <f t="shared" si="9"/>
        <v/>
      </c>
      <c r="G31" s="55" t="str">
        <f>IF(Таблица2[[#This Row],[часы суток]]="","",Теплоакумулятор!$B$14)</f>
        <v/>
      </c>
      <c r="H31" s="55" t="str">
        <f>IF(Таблица2[[#This Row],[часы суток]]="","",Теплоакумулятор!$B$15)</f>
        <v/>
      </c>
      <c r="I31" s="104" t="str">
        <f t="shared" si="10"/>
        <v/>
      </c>
    </row>
    <row r="32" spans="1:10" x14ac:dyDescent="0.25">
      <c r="A32" s="53" t="str">
        <f>IF(C32="","",MAX($A$1:A31)+1)</f>
        <v/>
      </c>
      <c r="B32" s="65">
        <v>3</v>
      </c>
      <c r="C32" s="53" t="str">
        <f t="shared" si="0"/>
        <v/>
      </c>
      <c r="D32">
        <v>13</v>
      </c>
      <c r="E32" s="56" t="str">
        <f t="shared" si="8"/>
        <v/>
      </c>
      <c r="F32" s="78" t="str">
        <f t="shared" si="9"/>
        <v/>
      </c>
      <c r="G32" s="55" t="str">
        <f>IF(Таблица2[[#This Row],[часы суток]]="","",Теплоакумулятор!$B$14)</f>
        <v/>
      </c>
      <c r="H32" s="55" t="str">
        <f>IF(Таблица2[[#This Row],[часы суток]]="","",Теплоакумулятор!$B$15)</f>
        <v/>
      </c>
      <c r="I32" s="104" t="str">
        <f t="shared" si="10"/>
        <v/>
      </c>
    </row>
    <row r="33" spans="1:9" x14ac:dyDescent="0.25">
      <c r="A33" s="53" t="str">
        <f>IF(C33="","",MAX($A$1:A32)+1)</f>
        <v/>
      </c>
      <c r="B33" s="65">
        <v>3.1</v>
      </c>
      <c r="C33" s="53" t="str">
        <f t="shared" si="0"/>
        <v/>
      </c>
      <c r="D33">
        <v>14</v>
      </c>
      <c r="E33" s="56" t="str">
        <f t="shared" si="8"/>
        <v/>
      </c>
      <c r="F33" s="78" t="str">
        <f t="shared" si="9"/>
        <v/>
      </c>
      <c r="G33" s="55" t="str">
        <f>IF(Таблица2[[#This Row],[часы суток]]="","",Теплоакумулятор!$B$14)</f>
        <v/>
      </c>
      <c r="H33" s="55" t="str">
        <f>IF(Таблица2[[#This Row],[часы суток]]="","",Теплоакумулятор!$B$15)</f>
        <v/>
      </c>
      <c r="I33" s="104" t="str">
        <f t="shared" si="10"/>
        <v/>
      </c>
    </row>
    <row r="34" spans="1:9" x14ac:dyDescent="0.25">
      <c r="A34" s="53" t="str">
        <f>IF(C34="","",MAX($A$1:A33)+1)</f>
        <v/>
      </c>
      <c r="B34" s="65">
        <v>3.2</v>
      </c>
      <c r="C34" s="53" t="str">
        <f t="shared" si="0"/>
        <v/>
      </c>
      <c r="D34">
        <v>15</v>
      </c>
      <c r="E34" s="56" t="str">
        <f t="shared" si="8"/>
        <v/>
      </c>
      <c r="F34" s="78" t="str">
        <f t="shared" si="9"/>
        <v/>
      </c>
      <c r="G34" s="55" t="str">
        <f>IF(Таблица2[[#This Row],[часы суток]]="","",Теплоакумулятор!$B$14)</f>
        <v/>
      </c>
      <c r="H34" s="55" t="str">
        <f>IF(Таблица2[[#This Row],[часы суток]]="","",Теплоакумулятор!$B$15)</f>
        <v/>
      </c>
      <c r="I34" s="104" t="str">
        <f t="shared" si="10"/>
        <v/>
      </c>
    </row>
    <row r="35" spans="1:9" x14ac:dyDescent="0.25">
      <c r="A35" s="53" t="str">
        <f>IF(C35="","",MAX($A$1:A34)+1)</f>
        <v/>
      </c>
      <c r="B35" s="65">
        <v>3.3</v>
      </c>
      <c r="C35" s="53" t="str">
        <f t="shared" si="0"/>
        <v/>
      </c>
      <c r="D35">
        <v>16</v>
      </c>
      <c r="E35" s="56" t="str">
        <f t="shared" si="8"/>
        <v/>
      </c>
      <c r="F35" s="78" t="str">
        <f t="shared" si="9"/>
        <v/>
      </c>
      <c r="G35" s="55" t="str">
        <f>IF(Таблица2[[#This Row],[часы суток]]="","",Теплоакумулятор!$B$14)</f>
        <v/>
      </c>
      <c r="H35" s="55" t="str">
        <f>IF(Таблица2[[#This Row],[часы суток]]="","",Теплоакумулятор!$B$15)</f>
        <v/>
      </c>
      <c r="I35" s="104" t="str">
        <f t="shared" si="10"/>
        <v/>
      </c>
    </row>
    <row r="36" spans="1:9" x14ac:dyDescent="0.25">
      <c r="A36" s="53" t="str">
        <f>IF(C36="","",MAX($A$1:A35)+1)</f>
        <v/>
      </c>
      <c r="B36" s="65">
        <v>3.4</v>
      </c>
      <c r="C36" s="53" t="str">
        <f t="shared" si="0"/>
        <v/>
      </c>
    </row>
    <row r="37" spans="1:9" x14ac:dyDescent="0.25">
      <c r="A37" s="53" t="str">
        <f>IF(C37="","",MAX($A$1:A36)+1)</f>
        <v/>
      </c>
      <c r="B37" s="65">
        <v>3.5</v>
      </c>
      <c r="C37" s="53" t="str">
        <f t="shared" si="0"/>
        <v/>
      </c>
    </row>
    <row r="38" spans="1:9" x14ac:dyDescent="0.25">
      <c r="A38" s="53" t="str">
        <f>IF(C38="","",MAX($A$1:A37)+1)</f>
        <v/>
      </c>
      <c r="B38" s="65">
        <v>3.6</v>
      </c>
      <c r="C38" s="53" t="str">
        <f t="shared" si="0"/>
        <v/>
      </c>
    </row>
    <row r="39" spans="1:9" x14ac:dyDescent="0.25">
      <c r="A39" s="53" t="str">
        <f>IF(C39="","",MAX($A$1:A38)+1)</f>
        <v/>
      </c>
      <c r="B39" s="65">
        <v>3.7</v>
      </c>
      <c r="C39" s="53" t="str">
        <f t="shared" si="0"/>
        <v/>
      </c>
    </row>
    <row r="40" spans="1:9" x14ac:dyDescent="0.25">
      <c r="A40" s="53" t="str">
        <f>IF(C40="","",MAX($A$1:A39)+1)</f>
        <v/>
      </c>
      <c r="B40" s="65">
        <v>3.8</v>
      </c>
      <c r="C40" s="53" t="str">
        <f t="shared" si="0"/>
        <v/>
      </c>
    </row>
    <row r="41" spans="1:9" x14ac:dyDescent="0.25">
      <c r="A41" s="53" t="str">
        <f>IF(C41="","",MAX($A$1:A40)+1)</f>
        <v/>
      </c>
      <c r="B41" s="65">
        <v>3.9</v>
      </c>
      <c r="C41" s="53" t="str">
        <f t="shared" si="0"/>
        <v/>
      </c>
    </row>
    <row r="42" spans="1:9" x14ac:dyDescent="0.25">
      <c r="A42" s="53" t="str">
        <f>IF(C42="","",MAX($A$1:A41)+1)</f>
        <v/>
      </c>
      <c r="B42" s="65">
        <v>4</v>
      </c>
      <c r="C42" s="53" t="str">
        <f t="shared" si="0"/>
        <v/>
      </c>
    </row>
    <row r="43" spans="1:9" x14ac:dyDescent="0.25">
      <c r="A43" s="53" t="str">
        <f>IF(C43="","",MAX($A$1:A42)+1)</f>
        <v/>
      </c>
      <c r="B43" s="65">
        <v>4.0999999999999996</v>
      </c>
      <c r="C43" s="53" t="str">
        <f t="shared" si="0"/>
        <v/>
      </c>
    </row>
    <row r="44" spans="1:9" x14ac:dyDescent="0.25">
      <c r="A44" s="53" t="str">
        <f>IF(C44="","",MAX($A$1:A43)+1)</f>
        <v/>
      </c>
      <c r="B44" s="65">
        <v>4.2</v>
      </c>
      <c r="C44" s="53" t="str">
        <f t="shared" si="0"/>
        <v/>
      </c>
    </row>
    <row r="45" spans="1:9" x14ac:dyDescent="0.25">
      <c r="A45" s="53" t="str">
        <f>IF(C45="","",MAX($A$1:A44)+1)</f>
        <v/>
      </c>
      <c r="B45" s="65">
        <v>4.3</v>
      </c>
      <c r="C45" s="53" t="str">
        <f t="shared" si="0"/>
        <v/>
      </c>
    </row>
    <row r="46" spans="1:9" x14ac:dyDescent="0.25">
      <c r="A46" s="53" t="str">
        <f>IF(C46="","",MAX($A$1:A45)+1)</f>
        <v/>
      </c>
      <c r="B46" s="65">
        <v>4.4000000000000004</v>
      </c>
      <c r="C46" s="53" t="str">
        <f t="shared" si="0"/>
        <v/>
      </c>
    </row>
    <row r="47" spans="1:9" x14ac:dyDescent="0.25">
      <c r="A47" s="53" t="str">
        <f>IF(C47="","",MAX($A$1:A46)+1)</f>
        <v/>
      </c>
      <c r="B47" s="65">
        <v>4.5</v>
      </c>
      <c r="C47" s="53" t="str">
        <f t="shared" si="0"/>
        <v/>
      </c>
    </row>
    <row r="48" spans="1:9" x14ac:dyDescent="0.25">
      <c r="A48" s="53" t="str">
        <f>IF(C48="","",MAX($A$1:A47)+1)</f>
        <v/>
      </c>
      <c r="B48" s="65">
        <v>4.5999999999999996</v>
      </c>
      <c r="C48" s="53" t="str">
        <f t="shared" si="0"/>
        <v/>
      </c>
    </row>
    <row r="49" spans="1:3" x14ac:dyDescent="0.25">
      <c r="A49" s="53" t="str">
        <f>IF(C49="","",MAX($A$1:A48)+1)</f>
        <v/>
      </c>
      <c r="B49" s="65">
        <v>4.7</v>
      </c>
      <c r="C49" s="53" t="str">
        <f t="shared" si="0"/>
        <v/>
      </c>
    </row>
    <row r="50" spans="1:3" x14ac:dyDescent="0.25">
      <c r="A50" s="53" t="str">
        <f>IF(C50="","",MAX($A$1:A49)+1)</f>
        <v/>
      </c>
      <c r="B50" s="65">
        <v>4.8</v>
      </c>
      <c r="C50" s="53" t="str">
        <f t="shared" si="0"/>
        <v/>
      </c>
    </row>
    <row r="51" spans="1:3" x14ac:dyDescent="0.25">
      <c r="A51" s="53" t="str">
        <f>IF(C51="","",MAX($A$1:A50)+1)</f>
        <v/>
      </c>
      <c r="B51" s="65">
        <v>4.9000000000000004</v>
      </c>
      <c r="C51" s="53" t="str">
        <f t="shared" si="0"/>
        <v/>
      </c>
    </row>
    <row r="52" spans="1:3" x14ac:dyDescent="0.25">
      <c r="A52" s="53" t="str">
        <f>IF(C52="","",MAX($A$1:A51)+1)</f>
        <v/>
      </c>
      <c r="B52" s="65">
        <v>5</v>
      </c>
      <c r="C52" s="53" t="str">
        <f t="shared" si="0"/>
        <v/>
      </c>
    </row>
    <row r="53" spans="1:3" x14ac:dyDescent="0.25">
      <c r="A53" s="53" t="str">
        <f>IF(C53="","",MAX($A$1:A52)+1)</f>
        <v/>
      </c>
      <c r="B53" s="65">
        <v>5.0999999999999996</v>
      </c>
      <c r="C53" s="53" t="str">
        <f t="shared" si="0"/>
        <v/>
      </c>
    </row>
    <row r="54" spans="1:3" x14ac:dyDescent="0.25">
      <c r="A54" s="53" t="str">
        <f>IF(C54="","",MAX($A$1:A53)+1)</f>
        <v/>
      </c>
      <c r="B54" s="65">
        <v>5.2</v>
      </c>
      <c r="C54" s="53" t="str">
        <f t="shared" si="0"/>
        <v/>
      </c>
    </row>
    <row r="55" spans="1:3" x14ac:dyDescent="0.25">
      <c r="A55" s="53" t="str">
        <f>IF(C55="","",MAX($A$1:A54)+1)</f>
        <v/>
      </c>
      <c r="B55" s="65">
        <v>5.3</v>
      </c>
      <c r="C55" s="53" t="str">
        <f t="shared" si="0"/>
        <v/>
      </c>
    </row>
    <row r="56" spans="1:3" x14ac:dyDescent="0.25">
      <c r="A56" s="53" t="str">
        <f>IF(C56="","",MAX($A$1:A55)+1)</f>
        <v/>
      </c>
      <c r="B56" s="65">
        <v>5.4</v>
      </c>
      <c r="C56" s="53" t="str">
        <f t="shared" si="0"/>
        <v/>
      </c>
    </row>
    <row r="57" spans="1:3" x14ac:dyDescent="0.25">
      <c r="A57" s="53" t="str">
        <f>IF(C57="","",MAX($A$1:A56)+1)</f>
        <v/>
      </c>
      <c r="B57" s="65">
        <v>5.5</v>
      </c>
      <c r="C57" s="53" t="str">
        <f t="shared" si="0"/>
        <v/>
      </c>
    </row>
    <row r="58" spans="1:3" x14ac:dyDescent="0.25">
      <c r="A58" s="53" t="str">
        <f>IF(C58="","",MAX($A$1:A57)+1)</f>
        <v/>
      </c>
      <c r="B58" s="65">
        <v>5.6</v>
      </c>
      <c r="C58" s="53" t="str">
        <f t="shared" si="0"/>
        <v/>
      </c>
    </row>
    <row r="59" spans="1:3" x14ac:dyDescent="0.25">
      <c r="A59" s="53" t="str">
        <f>IF(C59="","",MAX($A$1:A58)+1)</f>
        <v/>
      </c>
      <c r="B59" s="65">
        <v>5.7</v>
      </c>
      <c r="C59" s="53" t="str">
        <f t="shared" si="0"/>
        <v/>
      </c>
    </row>
    <row r="60" spans="1:3" x14ac:dyDescent="0.25">
      <c r="A60" s="53" t="str">
        <f>IF(C60="","",MAX($A$1:A59)+1)</f>
        <v/>
      </c>
      <c r="B60" s="65">
        <v>5.8</v>
      </c>
      <c r="C60" s="53" t="str">
        <f t="shared" si="0"/>
        <v/>
      </c>
    </row>
    <row r="61" spans="1:3" x14ac:dyDescent="0.25">
      <c r="A61" s="53" t="str">
        <f>IF(C61="","",MAX($A$1:A60)+1)</f>
        <v/>
      </c>
      <c r="B61" s="65">
        <v>5.9</v>
      </c>
      <c r="C61" s="53" t="str">
        <f t="shared" si="0"/>
        <v/>
      </c>
    </row>
    <row r="62" spans="1:3" x14ac:dyDescent="0.25">
      <c r="A62" s="53" t="str">
        <f>IF(C62="","",MAX($A$1:A61)+1)</f>
        <v/>
      </c>
      <c r="B62" s="65">
        <v>6</v>
      </c>
      <c r="C62" s="53" t="str">
        <f t="shared" si="0"/>
        <v/>
      </c>
    </row>
    <row r="63" spans="1:3" x14ac:dyDescent="0.25">
      <c r="A63" s="53" t="str">
        <f>IF(C63="","",MAX($A$1:A62)+1)</f>
        <v/>
      </c>
      <c r="B63" s="65">
        <v>6.1</v>
      </c>
      <c r="C63" s="53" t="str">
        <f t="shared" si="0"/>
        <v/>
      </c>
    </row>
    <row r="64" spans="1:3" x14ac:dyDescent="0.25">
      <c r="A64" s="53" t="str">
        <f>IF(C64="","",MAX($A$1:A63)+1)</f>
        <v/>
      </c>
      <c r="B64" s="65">
        <v>6.2</v>
      </c>
      <c r="C64" s="53" t="str">
        <f t="shared" si="0"/>
        <v/>
      </c>
    </row>
    <row r="65" spans="1:3" x14ac:dyDescent="0.25">
      <c r="A65" s="53" t="str">
        <f>IF(C65="","",MAX($A$1:A64)+1)</f>
        <v/>
      </c>
      <c r="B65" s="65">
        <v>6.3</v>
      </c>
      <c r="C65" s="53" t="str">
        <f t="shared" si="0"/>
        <v/>
      </c>
    </row>
    <row r="66" spans="1:3" x14ac:dyDescent="0.25">
      <c r="A66" s="53" t="str">
        <f>IF(C66="","",MAX($A$1:A65)+1)</f>
        <v/>
      </c>
      <c r="B66" s="65">
        <v>6.4</v>
      </c>
      <c r="C66" s="53" t="str">
        <f t="shared" si="0"/>
        <v/>
      </c>
    </row>
    <row r="67" spans="1:3" x14ac:dyDescent="0.25">
      <c r="A67" s="53" t="str">
        <f>IF(C67="","",MAX($A$1:A66)+1)</f>
        <v/>
      </c>
      <c r="B67" s="65">
        <v>6.5</v>
      </c>
      <c r="C67" s="53" t="str">
        <f t="shared" ref="C67:C130" si="11">IF(ISNA(VLOOKUP(B67,$J$2:$M$11,4,FALSE)),IF(ISNA(VLOOKUP(B67,$K$2:$N$11,4,FALSE)),"",VLOOKUP(B67,$K$2:$N$11,4,FALSE)),VLOOKUP(B67,$J$2:$M$11,4,FALSE))</f>
        <v/>
      </c>
    </row>
    <row r="68" spans="1:3" x14ac:dyDescent="0.25">
      <c r="A68" s="53" t="str">
        <f>IF(C68="","",MAX($A$1:A67)+1)</f>
        <v/>
      </c>
      <c r="B68" s="65">
        <v>6.6</v>
      </c>
      <c r="C68" s="53" t="str">
        <f t="shared" si="11"/>
        <v/>
      </c>
    </row>
    <row r="69" spans="1:3" x14ac:dyDescent="0.25">
      <c r="A69" s="53" t="str">
        <f>IF(C69="","",MAX($A$1:A68)+1)</f>
        <v/>
      </c>
      <c r="B69" s="65">
        <v>6.7</v>
      </c>
      <c r="C69" s="53" t="str">
        <f t="shared" si="11"/>
        <v/>
      </c>
    </row>
    <row r="70" spans="1:3" x14ac:dyDescent="0.25">
      <c r="A70" s="53" t="str">
        <f>IF(C70="","",MAX($A$1:A69)+1)</f>
        <v/>
      </c>
      <c r="B70" s="65">
        <v>6.8</v>
      </c>
      <c r="C70" s="53" t="str">
        <f t="shared" si="11"/>
        <v/>
      </c>
    </row>
    <row r="71" spans="1:3" x14ac:dyDescent="0.25">
      <c r="A71" s="53" t="str">
        <f>IF(C71="","",MAX($A$1:A70)+1)</f>
        <v/>
      </c>
      <c r="B71" s="65">
        <v>6.9</v>
      </c>
      <c r="C71" s="53" t="str">
        <f t="shared" si="11"/>
        <v/>
      </c>
    </row>
    <row r="72" spans="1:3" x14ac:dyDescent="0.25">
      <c r="A72" s="53" t="str">
        <f>IF(C72="","",MAX($A$1:A71)+1)</f>
        <v/>
      </c>
      <c r="B72" s="65">
        <v>7</v>
      </c>
      <c r="C72" s="53" t="str">
        <f t="shared" si="11"/>
        <v/>
      </c>
    </row>
    <row r="73" spans="1:3" x14ac:dyDescent="0.25">
      <c r="A73" s="53" t="str">
        <f>IF(C73="","",MAX($A$1:A72)+1)</f>
        <v/>
      </c>
      <c r="B73" s="65">
        <v>7.1</v>
      </c>
      <c r="C73" s="53" t="str">
        <f t="shared" si="11"/>
        <v/>
      </c>
    </row>
    <row r="74" spans="1:3" x14ac:dyDescent="0.25">
      <c r="A74" s="53" t="str">
        <f>IF(C74="","",MAX($A$1:A73)+1)</f>
        <v/>
      </c>
      <c r="B74" s="65">
        <v>7.2</v>
      </c>
      <c r="C74" s="53" t="str">
        <f t="shared" si="11"/>
        <v/>
      </c>
    </row>
    <row r="75" spans="1:3" x14ac:dyDescent="0.25">
      <c r="A75" s="53" t="str">
        <f>IF(C75="","",MAX($A$1:A74)+1)</f>
        <v/>
      </c>
      <c r="B75" s="65">
        <v>7.3</v>
      </c>
      <c r="C75" s="53" t="str">
        <f t="shared" si="11"/>
        <v/>
      </c>
    </row>
    <row r="76" spans="1:3" x14ac:dyDescent="0.25">
      <c r="A76" s="53" t="str">
        <f>IF(C76="","",MAX($A$1:A75)+1)</f>
        <v/>
      </c>
      <c r="B76" s="65">
        <v>7.4</v>
      </c>
      <c r="C76" s="53" t="str">
        <f t="shared" si="11"/>
        <v/>
      </c>
    </row>
    <row r="77" spans="1:3" x14ac:dyDescent="0.25">
      <c r="A77" s="53" t="str">
        <f>IF(C77="","",MAX($A$1:A76)+1)</f>
        <v/>
      </c>
      <c r="B77" s="65">
        <v>7.5</v>
      </c>
      <c r="C77" s="53" t="str">
        <f t="shared" si="11"/>
        <v/>
      </c>
    </row>
    <row r="78" spans="1:3" x14ac:dyDescent="0.25">
      <c r="A78" s="53" t="str">
        <f>IF(C78="","",MAX($A$1:A77)+1)</f>
        <v/>
      </c>
      <c r="B78" s="65">
        <v>7.6</v>
      </c>
      <c r="C78" s="53" t="str">
        <f t="shared" si="11"/>
        <v/>
      </c>
    </row>
    <row r="79" spans="1:3" x14ac:dyDescent="0.25">
      <c r="A79" s="53" t="str">
        <f>IF(C79="","",MAX($A$1:A78)+1)</f>
        <v/>
      </c>
      <c r="B79" s="65">
        <v>7.7</v>
      </c>
      <c r="C79" s="53" t="str">
        <f t="shared" si="11"/>
        <v/>
      </c>
    </row>
    <row r="80" spans="1:3" x14ac:dyDescent="0.25">
      <c r="A80" s="53" t="str">
        <f>IF(C80="","",MAX($A$1:A79)+1)</f>
        <v/>
      </c>
      <c r="B80" s="65">
        <v>7.8</v>
      </c>
      <c r="C80" s="53" t="str">
        <f t="shared" si="11"/>
        <v/>
      </c>
    </row>
    <row r="81" spans="1:3" x14ac:dyDescent="0.25">
      <c r="A81" s="53" t="str">
        <f>IF(C81="","",MAX($A$1:A80)+1)</f>
        <v/>
      </c>
      <c r="B81" s="65">
        <v>7.9</v>
      </c>
      <c r="C81" s="53" t="str">
        <f t="shared" si="11"/>
        <v/>
      </c>
    </row>
    <row r="82" spans="1:3" x14ac:dyDescent="0.25">
      <c r="A82" s="53">
        <f>IF(C82="","",MAX($A$1:A81)+1)</f>
        <v>2</v>
      </c>
      <c r="B82" s="65">
        <v>8</v>
      </c>
      <c r="C82" s="53">
        <f t="shared" si="11"/>
        <v>40</v>
      </c>
    </row>
    <row r="83" spans="1:3" x14ac:dyDescent="0.25">
      <c r="A83" s="53" t="str">
        <f>IF(C83="","",MAX($A$1:A82)+1)</f>
        <v/>
      </c>
      <c r="B83" s="65">
        <v>8.1</v>
      </c>
      <c r="C83" s="53" t="str">
        <f t="shared" si="11"/>
        <v/>
      </c>
    </row>
    <row r="84" spans="1:3" x14ac:dyDescent="0.25">
      <c r="A84" s="53" t="str">
        <f>IF(C84="","",MAX($A$1:A83)+1)</f>
        <v/>
      </c>
      <c r="B84" s="65">
        <v>8.1999999999999993</v>
      </c>
      <c r="C84" s="53" t="str">
        <f t="shared" si="11"/>
        <v/>
      </c>
    </row>
    <row r="85" spans="1:3" x14ac:dyDescent="0.25">
      <c r="A85" s="53" t="str">
        <f>IF(C85="","",MAX($A$1:A84)+1)</f>
        <v/>
      </c>
      <c r="B85" s="65">
        <v>8.3000000000000007</v>
      </c>
      <c r="C85" s="53" t="str">
        <f t="shared" si="11"/>
        <v/>
      </c>
    </row>
    <row r="86" spans="1:3" x14ac:dyDescent="0.25">
      <c r="A86" s="53" t="str">
        <f>IF(C86="","",MAX($A$1:A85)+1)</f>
        <v/>
      </c>
      <c r="B86" s="65">
        <v>8.4</v>
      </c>
      <c r="C86" s="53" t="str">
        <f t="shared" si="11"/>
        <v/>
      </c>
    </row>
    <row r="87" spans="1:3" x14ac:dyDescent="0.25">
      <c r="A87" s="53" t="str">
        <f>IF(C87="","",MAX($A$1:A86)+1)</f>
        <v/>
      </c>
      <c r="B87" s="65">
        <v>8.5</v>
      </c>
      <c r="C87" s="53" t="str">
        <f t="shared" si="11"/>
        <v/>
      </c>
    </row>
    <row r="88" spans="1:3" x14ac:dyDescent="0.25">
      <c r="A88" s="53" t="str">
        <f>IF(C88="","",MAX($A$1:A87)+1)</f>
        <v/>
      </c>
      <c r="B88" s="65">
        <v>8.6</v>
      </c>
      <c r="C88" s="53" t="str">
        <f t="shared" si="11"/>
        <v/>
      </c>
    </row>
    <row r="89" spans="1:3" x14ac:dyDescent="0.25">
      <c r="A89" s="53" t="str">
        <f>IF(C89="","",MAX($A$1:A88)+1)</f>
        <v/>
      </c>
      <c r="B89" s="65">
        <v>8.6999999999999993</v>
      </c>
      <c r="C89" s="53" t="str">
        <f t="shared" si="11"/>
        <v/>
      </c>
    </row>
    <row r="90" spans="1:3" x14ac:dyDescent="0.25">
      <c r="A90" s="53" t="str">
        <f>IF(C90="","",MAX($A$1:A89)+1)</f>
        <v/>
      </c>
      <c r="B90" s="65">
        <v>8.8000000000000007</v>
      </c>
      <c r="C90" s="53" t="str">
        <f t="shared" si="11"/>
        <v/>
      </c>
    </row>
    <row r="91" spans="1:3" x14ac:dyDescent="0.25">
      <c r="A91" s="53" t="str">
        <f>IF(C91="","",MAX($A$1:A90)+1)</f>
        <v/>
      </c>
      <c r="B91" s="65">
        <v>8.9</v>
      </c>
      <c r="C91" s="53" t="str">
        <f t="shared" si="11"/>
        <v/>
      </c>
    </row>
    <row r="92" spans="1:3" x14ac:dyDescent="0.25">
      <c r="A92" s="53" t="str">
        <f>IF(C92="","",MAX($A$1:A91)+1)</f>
        <v/>
      </c>
      <c r="B92" s="65">
        <v>9</v>
      </c>
      <c r="C92" s="53" t="str">
        <f t="shared" si="11"/>
        <v/>
      </c>
    </row>
    <row r="93" spans="1:3" x14ac:dyDescent="0.25">
      <c r="A93" s="53" t="str">
        <f>IF(C93="","",MAX($A$1:A92)+1)</f>
        <v/>
      </c>
      <c r="B93" s="65">
        <v>9.1</v>
      </c>
      <c r="C93" s="53" t="str">
        <f t="shared" si="11"/>
        <v/>
      </c>
    </row>
    <row r="94" spans="1:3" x14ac:dyDescent="0.25">
      <c r="A94" s="53" t="str">
        <f>IF(C94="","",MAX($A$1:A93)+1)</f>
        <v/>
      </c>
      <c r="B94" s="65">
        <v>9.1999999999999993</v>
      </c>
      <c r="C94" s="53" t="str">
        <f t="shared" si="11"/>
        <v/>
      </c>
    </row>
    <row r="95" spans="1:3" x14ac:dyDescent="0.25">
      <c r="A95" s="53" t="str">
        <f>IF(C95="","",MAX($A$1:A94)+1)</f>
        <v/>
      </c>
      <c r="B95" s="65">
        <v>9.3000000000000007</v>
      </c>
      <c r="C95" s="53" t="str">
        <f t="shared" si="11"/>
        <v/>
      </c>
    </row>
    <row r="96" spans="1:3" x14ac:dyDescent="0.25">
      <c r="A96" s="53" t="str">
        <f>IF(C96="","",MAX($A$1:A95)+1)</f>
        <v/>
      </c>
      <c r="B96" s="65">
        <v>9.4</v>
      </c>
      <c r="C96" s="53" t="str">
        <f t="shared" si="11"/>
        <v/>
      </c>
    </row>
    <row r="97" spans="1:3" x14ac:dyDescent="0.25">
      <c r="A97" s="53">
        <f>IF(C97="","",MAX($A$1:A96)+1)</f>
        <v>3</v>
      </c>
      <c r="B97" s="65">
        <v>9.5</v>
      </c>
      <c r="C97" s="53">
        <f t="shared" si="11"/>
        <v>73.845338983048691</v>
      </c>
    </row>
    <row r="98" spans="1:3" x14ac:dyDescent="0.25">
      <c r="A98" s="53" t="str">
        <f>IF(C98="","",MAX($A$1:A97)+1)</f>
        <v/>
      </c>
      <c r="B98" s="65">
        <v>9.6</v>
      </c>
      <c r="C98" s="53" t="str">
        <f t="shared" si="11"/>
        <v/>
      </c>
    </row>
    <row r="99" spans="1:3" x14ac:dyDescent="0.25">
      <c r="A99" s="53" t="str">
        <f>IF(C99="","",MAX($A$1:A98)+1)</f>
        <v/>
      </c>
      <c r="B99" s="65">
        <v>9.6999999999999993</v>
      </c>
      <c r="C99" s="53" t="str">
        <f t="shared" si="11"/>
        <v/>
      </c>
    </row>
    <row r="100" spans="1:3" x14ac:dyDescent="0.25">
      <c r="A100" s="53" t="str">
        <f>IF(C100="","",MAX($A$1:A99)+1)</f>
        <v/>
      </c>
      <c r="B100" s="65">
        <v>9.8000000000000007</v>
      </c>
      <c r="C100" s="53" t="str">
        <f t="shared" si="11"/>
        <v/>
      </c>
    </row>
    <row r="101" spans="1:3" x14ac:dyDescent="0.25">
      <c r="A101" s="53" t="str">
        <f>IF(C101="","",MAX($A$1:A100)+1)</f>
        <v/>
      </c>
      <c r="B101" s="65">
        <v>9.9</v>
      </c>
      <c r="C101" s="53" t="str">
        <f t="shared" si="11"/>
        <v/>
      </c>
    </row>
    <row r="102" spans="1:3" x14ac:dyDescent="0.25">
      <c r="A102" s="53" t="str">
        <f>IF(C102="","",MAX($A$1:A101)+1)</f>
        <v/>
      </c>
      <c r="B102" s="65">
        <v>10</v>
      </c>
      <c r="C102" s="53" t="str">
        <f t="shared" si="11"/>
        <v/>
      </c>
    </row>
    <row r="103" spans="1:3" x14ac:dyDescent="0.25">
      <c r="A103" s="53" t="str">
        <f>IF(C103="","",MAX($A$1:A102)+1)</f>
        <v/>
      </c>
      <c r="B103" s="65">
        <v>10.1</v>
      </c>
      <c r="C103" s="53" t="str">
        <f t="shared" si="11"/>
        <v/>
      </c>
    </row>
    <row r="104" spans="1:3" x14ac:dyDescent="0.25">
      <c r="A104" s="53" t="str">
        <f>IF(C104="","",MAX($A$1:A103)+1)</f>
        <v/>
      </c>
      <c r="B104" s="65">
        <v>10.199999999999999</v>
      </c>
      <c r="C104" s="53" t="str">
        <f t="shared" si="11"/>
        <v/>
      </c>
    </row>
    <row r="105" spans="1:3" x14ac:dyDescent="0.25">
      <c r="A105" s="53" t="str">
        <f>IF(C105="","",MAX($A$1:A104)+1)</f>
        <v/>
      </c>
      <c r="B105" s="65">
        <v>10.3</v>
      </c>
      <c r="C105" s="53" t="str">
        <f t="shared" si="11"/>
        <v/>
      </c>
    </row>
    <row r="106" spans="1:3" x14ac:dyDescent="0.25">
      <c r="A106" s="53" t="str">
        <f>IF(C106="","",MAX($A$1:A105)+1)</f>
        <v/>
      </c>
      <c r="B106" s="65">
        <v>10.4</v>
      </c>
      <c r="C106" s="53" t="str">
        <f t="shared" si="11"/>
        <v/>
      </c>
    </row>
    <row r="107" spans="1:3" x14ac:dyDescent="0.25">
      <c r="A107" s="53" t="str">
        <f>IF(C107="","",MAX($A$1:A106)+1)</f>
        <v/>
      </c>
      <c r="B107" s="65">
        <v>10.5</v>
      </c>
      <c r="C107" s="53" t="str">
        <f t="shared" si="11"/>
        <v/>
      </c>
    </row>
    <row r="108" spans="1:3" x14ac:dyDescent="0.25">
      <c r="A108" s="53" t="str">
        <f>IF(C108="","",MAX($A$1:A107)+1)</f>
        <v/>
      </c>
      <c r="B108" s="65">
        <v>10.6</v>
      </c>
      <c r="C108" s="53" t="str">
        <f t="shared" si="11"/>
        <v/>
      </c>
    </row>
    <row r="109" spans="1:3" x14ac:dyDescent="0.25">
      <c r="A109" s="53" t="str">
        <f>IF(C109="","",MAX($A$1:A108)+1)</f>
        <v/>
      </c>
      <c r="B109" s="65">
        <v>10.7</v>
      </c>
      <c r="C109" s="53" t="str">
        <f t="shared" si="11"/>
        <v/>
      </c>
    </row>
    <row r="110" spans="1:3" x14ac:dyDescent="0.25">
      <c r="A110" s="53" t="str">
        <f>IF(C110="","",MAX($A$1:A109)+1)</f>
        <v/>
      </c>
      <c r="B110" s="65">
        <v>10.8</v>
      </c>
      <c r="C110" s="53" t="str">
        <f t="shared" si="11"/>
        <v/>
      </c>
    </row>
    <row r="111" spans="1:3" x14ac:dyDescent="0.25">
      <c r="A111" s="53" t="str">
        <f>IF(C111="","",MAX($A$1:A110)+1)</f>
        <v/>
      </c>
      <c r="B111" s="65">
        <v>10.9</v>
      </c>
      <c r="C111" s="53" t="str">
        <f t="shared" si="11"/>
        <v/>
      </c>
    </row>
    <row r="112" spans="1:3" x14ac:dyDescent="0.25">
      <c r="A112" s="53" t="str">
        <f>IF(C112="","",MAX($A$1:A111)+1)</f>
        <v/>
      </c>
      <c r="B112" s="65">
        <v>11</v>
      </c>
      <c r="C112" s="53" t="str">
        <f t="shared" si="11"/>
        <v/>
      </c>
    </row>
    <row r="113" spans="1:3" x14ac:dyDescent="0.25">
      <c r="A113" s="53" t="str">
        <f>IF(C113="","",MAX($A$1:A112)+1)</f>
        <v/>
      </c>
      <c r="B113" s="65">
        <v>11.1</v>
      </c>
      <c r="C113" s="53" t="str">
        <f t="shared" si="11"/>
        <v/>
      </c>
    </row>
    <row r="114" spans="1:3" x14ac:dyDescent="0.25">
      <c r="A114" s="53" t="str">
        <f>IF(C114="","",MAX($A$1:A113)+1)</f>
        <v/>
      </c>
      <c r="B114" s="65">
        <v>11.2</v>
      </c>
      <c r="C114" s="53" t="str">
        <f t="shared" si="11"/>
        <v/>
      </c>
    </row>
    <row r="115" spans="1:3" x14ac:dyDescent="0.25">
      <c r="A115" s="53" t="str">
        <f>IF(C115="","",MAX($A$1:A114)+1)</f>
        <v/>
      </c>
      <c r="B115" s="65">
        <v>11.3</v>
      </c>
      <c r="C115" s="53" t="str">
        <f t="shared" si="11"/>
        <v/>
      </c>
    </row>
    <row r="116" spans="1:3" x14ac:dyDescent="0.25">
      <c r="A116" s="53" t="str">
        <f>IF(C116="","",MAX($A$1:A115)+1)</f>
        <v/>
      </c>
      <c r="B116" s="65">
        <v>11.4</v>
      </c>
      <c r="C116" s="53" t="str">
        <f t="shared" si="11"/>
        <v/>
      </c>
    </row>
    <row r="117" spans="1:3" x14ac:dyDescent="0.25">
      <c r="A117" s="53" t="str">
        <f>IF(C117="","",MAX($A$1:A116)+1)</f>
        <v/>
      </c>
      <c r="B117" s="65">
        <v>11.5</v>
      </c>
      <c r="C117" s="53" t="str">
        <f t="shared" si="11"/>
        <v/>
      </c>
    </row>
    <row r="118" spans="1:3" x14ac:dyDescent="0.25">
      <c r="A118" s="53" t="str">
        <f>IF(C118="","",MAX($A$1:A117)+1)</f>
        <v/>
      </c>
      <c r="B118" s="65">
        <v>11.6</v>
      </c>
      <c r="C118" s="53" t="str">
        <f t="shared" si="11"/>
        <v/>
      </c>
    </row>
    <row r="119" spans="1:3" x14ac:dyDescent="0.25">
      <c r="A119" s="53" t="str">
        <f>IF(C119="","",MAX($A$1:A118)+1)</f>
        <v/>
      </c>
      <c r="B119" s="65">
        <v>11.7</v>
      </c>
      <c r="C119" s="53" t="str">
        <f t="shared" si="11"/>
        <v/>
      </c>
    </row>
    <row r="120" spans="1:3" x14ac:dyDescent="0.25">
      <c r="A120" s="53" t="str">
        <f>IF(C120="","",MAX($A$1:A119)+1)</f>
        <v/>
      </c>
      <c r="B120" s="65">
        <v>11.8</v>
      </c>
      <c r="C120" s="53" t="str">
        <f t="shared" si="11"/>
        <v/>
      </c>
    </row>
    <row r="121" spans="1:3" x14ac:dyDescent="0.25">
      <c r="A121" s="53" t="str">
        <f>IF(C121="","",MAX($A$1:A120)+1)</f>
        <v/>
      </c>
      <c r="B121" s="65">
        <v>11.9</v>
      </c>
      <c r="C121" s="53" t="str">
        <f t="shared" si="11"/>
        <v/>
      </c>
    </row>
    <row r="122" spans="1:3" x14ac:dyDescent="0.25">
      <c r="A122" s="53" t="str">
        <f>IF(C122="","",MAX($A$1:A121)+1)</f>
        <v/>
      </c>
      <c r="B122" s="65">
        <v>12</v>
      </c>
      <c r="C122" s="53" t="str">
        <f t="shared" si="11"/>
        <v/>
      </c>
    </row>
    <row r="123" spans="1:3" x14ac:dyDescent="0.25">
      <c r="A123" s="53" t="str">
        <f>IF(C123="","",MAX($A$1:A122)+1)</f>
        <v/>
      </c>
      <c r="B123" s="65">
        <v>12.1</v>
      </c>
      <c r="C123" s="53" t="str">
        <f t="shared" si="11"/>
        <v/>
      </c>
    </row>
    <row r="124" spans="1:3" x14ac:dyDescent="0.25">
      <c r="A124" s="53" t="str">
        <f>IF(C124="","",MAX($A$1:A123)+1)</f>
        <v/>
      </c>
      <c r="B124" s="65">
        <v>12.2</v>
      </c>
      <c r="C124" s="53" t="str">
        <f t="shared" si="11"/>
        <v/>
      </c>
    </row>
    <row r="125" spans="1:3" x14ac:dyDescent="0.25">
      <c r="A125" s="53" t="str">
        <f>IF(C125="","",MAX($A$1:A124)+1)</f>
        <v/>
      </c>
      <c r="B125" s="65">
        <v>12.3</v>
      </c>
      <c r="C125" s="53" t="str">
        <f t="shared" si="11"/>
        <v/>
      </c>
    </row>
    <row r="126" spans="1:3" x14ac:dyDescent="0.25">
      <c r="A126" s="53" t="str">
        <f>IF(C126="","",MAX($A$1:A125)+1)</f>
        <v/>
      </c>
      <c r="B126" s="65">
        <v>12.4</v>
      </c>
      <c r="C126" s="53" t="str">
        <f t="shared" si="11"/>
        <v/>
      </c>
    </row>
    <row r="127" spans="1:3" x14ac:dyDescent="0.25">
      <c r="A127" s="53" t="str">
        <f>IF(C127="","",MAX($A$1:A126)+1)</f>
        <v/>
      </c>
      <c r="B127" s="65">
        <v>12.5</v>
      </c>
      <c r="C127" s="53" t="str">
        <f t="shared" si="11"/>
        <v/>
      </c>
    </row>
    <row r="128" spans="1:3" x14ac:dyDescent="0.25">
      <c r="A128" s="53" t="str">
        <f>IF(C128="","",MAX($A$1:A127)+1)</f>
        <v/>
      </c>
      <c r="B128" s="65">
        <v>12.6</v>
      </c>
      <c r="C128" s="53" t="str">
        <f t="shared" si="11"/>
        <v/>
      </c>
    </row>
    <row r="129" spans="1:3" x14ac:dyDescent="0.25">
      <c r="A129" s="53" t="str">
        <f>IF(C129="","",MAX($A$1:A128)+1)</f>
        <v/>
      </c>
      <c r="B129" s="65">
        <v>12.7</v>
      </c>
      <c r="C129" s="53" t="str">
        <f t="shared" si="11"/>
        <v/>
      </c>
    </row>
    <row r="130" spans="1:3" x14ac:dyDescent="0.25">
      <c r="A130" s="53" t="str">
        <f>IF(C130="","",MAX($A$1:A129)+1)</f>
        <v/>
      </c>
      <c r="B130" s="65">
        <v>12.8</v>
      </c>
      <c r="C130" s="53" t="str">
        <f t="shared" si="11"/>
        <v/>
      </c>
    </row>
    <row r="131" spans="1:3" x14ac:dyDescent="0.25">
      <c r="A131" s="53" t="str">
        <f>IF(C131="","",MAX($A$1:A130)+1)</f>
        <v/>
      </c>
      <c r="B131" s="65">
        <v>12.9</v>
      </c>
      <c r="C131" s="53" t="str">
        <f t="shared" ref="C131:C194" si="12">IF(ISNA(VLOOKUP(B131,$J$2:$M$11,4,FALSE)),IF(ISNA(VLOOKUP(B131,$K$2:$N$11,4,FALSE)),"",VLOOKUP(B131,$K$2:$N$11,4,FALSE)),VLOOKUP(B131,$J$2:$M$11,4,FALSE))</f>
        <v/>
      </c>
    </row>
    <row r="132" spans="1:3" x14ac:dyDescent="0.25">
      <c r="A132" s="53" t="str">
        <f>IF(C132="","",MAX($A$1:A131)+1)</f>
        <v/>
      </c>
      <c r="B132" s="65">
        <v>13</v>
      </c>
      <c r="C132" s="53" t="str">
        <f t="shared" si="12"/>
        <v/>
      </c>
    </row>
    <row r="133" spans="1:3" x14ac:dyDescent="0.25">
      <c r="A133" s="53" t="str">
        <f>IF(C133="","",MAX($A$1:A132)+1)</f>
        <v/>
      </c>
      <c r="B133" s="65">
        <v>13.1</v>
      </c>
      <c r="C133" s="53" t="str">
        <f t="shared" si="12"/>
        <v/>
      </c>
    </row>
    <row r="134" spans="1:3" x14ac:dyDescent="0.25">
      <c r="A134" s="53" t="str">
        <f>IF(C134="","",MAX($A$1:A133)+1)</f>
        <v/>
      </c>
      <c r="B134" s="65">
        <v>13.2</v>
      </c>
      <c r="C134" s="53" t="str">
        <f t="shared" si="12"/>
        <v/>
      </c>
    </row>
    <row r="135" spans="1:3" x14ac:dyDescent="0.25">
      <c r="A135" s="53" t="str">
        <f>IF(C135="","",MAX($A$1:A134)+1)</f>
        <v/>
      </c>
      <c r="B135" s="65">
        <v>13.3</v>
      </c>
      <c r="C135" s="53" t="str">
        <f t="shared" si="12"/>
        <v/>
      </c>
    </row>
    <row r="136" spans="1:3" x14ac:dyDescent="0.25">
      <c r="A136" s="53" t="str">
        <f>IF(C136="","",MAX($A$1:A135)+1)</f>
        <v/>
      </c>
      <c r="B136" s="65">
        <v>13.4</v>
      </c>
      <c r="C136" s="53" t="str">
        <f t="shared" si="12"/>
        <v/>
      </c>
    </row>
    <row r="137" spans="1:3" x14ac:dyDescent="0.25">
      <c r="A137" s="53" t="str">
        <f>IF(C137="","",MAX($A$1:A136)+1)</f>
        <v/>
      </c>
      <c r="B137" s="65">
        <v>13.5</v>
      </c>
      <c r="C137" s="53" t="str">
        <f t="shared" si="12"/>
        <v/>
      </c>
    </row>
    <row r="138" spans="1:3" x14ac:dyDescent="0.25">
      <c r="A138" s="53" t="str">
        <f>IF(C138="","",MAX($A$1:A137)+1)</f>
        <v/>
      </c>
      <c r="B138" s="65">
        <v>13.6</v>
      </c>
      <c r="C138" s="53" t="str">
        <f t="shared" si="12"/>
        <v/>
      </c>
    </row>
    <row r="139" spans="1:3" x14ac:dyDescent="0.25">
      <c r="A139" s="53" t="str">
        <f>IF(C139="","",MAX($A$1:A138)+1)</f>
        <v/>
      </c>
      <c r="B139" s="65">
        <v>13.7</v>
      </c>
      <c r="C139" s="53" t="str">
        <f t="shared" si="12"/>
        <v/>
      </c>
    </row>
    <row r="140" spans="1:3" x14ac:dyDescent="0.25">
      <c r="A140" s="53" t="str">
        <f>IF(C140="","",MAX($A$1:A139)+1)</f>
        <v/>
      </c>
      <c r="B140" s="65">
        <v>13.8</v>
      </c>
      <c r="C140" s="53" t="str">
        <f t="shared" si="12"/>
        <v/>
      </c>
    </row>
    <row r="141" spans="1:3" x14ac:dyDescent="0.25">
      <c r="A141" s="53" t="str">
        <f>IF(C141="","",MAX($A$1:A140)+1)</f>
        <v/>
      </c>
      <c r="B141" s="65">
        <v>13.9</v>
      </c>
      <c r="C141" s="53" t="str">
        <f t="shared" si="12"/>
        <v/>
      </c>
    </row>
    <row r="142" spans="1:3" x14ac:dyDescent="0.25">
      <c r="A142" s="53" t="str">
        <f>IF(C142="","",MAX($A$1:A141)+1)</f>
        <v/>
      </c>
      <c r="B142" s="65">
        <v>14</v>
      </c>
      <c r="C142" s="53" t="str">
        <f t="shared" si="12"/>
        <v/>
      </c>
    </row>
    <row r="143" spans="1:3" x14ac:dyDescent="0.25">
      <c r="A143" s="53" t="str">
        <f>IF(C143="","",MAX($A$1:A142)+1)</f>
        <v/>
      </c>
      <c r="B143" s="65">
        <v>14.1</v>
      </c>
      <c r="C143" s="53" t="str">
        <f t="shared" si="12"/>
        <v/>
      </c>
    </row>
    <row r="144" spans="1:3" x14ac:dyDescent="0.25">
      <c r="A144" s="53" t="str">
        <f>IF(C144="","",MAX($A$1:A143)+1)</f>
        <v/>
      </c>
      <c r="B144" s="65">
        <v>14.2</v>
      </c>
      <c r="C144" s="53" t="str">
        <f t="shared" si="12"/>
        <v/>
      </c>
    </row>
    <row r="145" spans="1:3" x14ac:dyDescent="0.25">
      <c r="A145" s="53" t="str">
        <f>IF(C145="","",MAX($A$1:A144)+1)</f>
        <v/>
      </c>
      <c r="B145" s="65">
        <v>14.3</v>
      </c>
      <c r="C145" s="53" t="str">
        <f t="shared" si="12"/>
        <v/>
      </c>
    </row>
    <row r="146" spans="1:3" x14ac:dyDescent="0.25">
      <c r="A146" s="53" t="str">
        <f>IF(C146="","",MAX($A$1:A145)+1)</f>
        <v/>
      </c>
      <c r="B146" s="65">
        <v>14.4</v>
      </c>
      <c r="C146" s="53" t="str">
        <f t="shared" si="12"/>
        <v/>
      </c>
    </row>
    <row r="147" spans="1:3" x14ac:dyDescent="0.25">
      <c r="A147" s="53" t="str">
        <f>IF(C147="","",MAX($A$1:A146)+1)</f>
        <v/>
      </c>
      <c r="B147" s="65">
        <v>14.5</v>
      </c>
      <c r="C147" s="53" t="str">
        <f t="shared" si="12"/>
        <v/>
      </c>
    </row>
    <row r="148" spans="1:3" x14ac:dyDescent="0.25">
      <c r="A148" s="53" t="str">
        <f>IF(C148="","",MAX($A$1:A147)+1)</f>
        <v/>
      </c>
      <c r="B148" s="65">
        <v>14.6</v>
      </c>
      <c r="C148" s="53" t="str">
        <f t="shared" si="12"/>
        <v/>
      </c>
    </row>
    <row r="149" spans="1:3" x14ac:dyDescent="0.25">
      <c r="A149" s="53" t="str">
        <f>IF(C149="","",MAX($A$1:A148)+1)</f>
        <v/>
      </c>
      <c r="B149" s="65">
        <v>14.7</v>
      </c>
      <c r="C149" s="53" t="str">
        <f t="shared" si="12"/>
        <v/>
      </c>
    </row>
    <row r="150" spans="1:3" x14ac:dyDescent="0.25">
      <c r="A150" s="53" t="str">
        <f>IF(C150="","",MAX($A$1:A149)+1)</f>
        <v/>
      </c>
      <c r="B150" s="65">
        <v>14.8</v>
      </c>
      <c r="C150" s="53" t="str">
        <f t="shared" si="12"/>
        <v/>
      </c>
    </row>
    <row r="151" spans="1:3" x14ac:dyDescent="0.25">
      <c r="A151" s="53" t="str">
        <f>IF(C151="","",MAX($A$1:A150)+1)</f>
        <v/>
      </c>
      <c r="B151" s="65">
        <v>14.9</v>
      </c>
      <c r="C151" s="53" t="str">
        <f t="shared" si="12"/>
        <v/>
      </c>
    </row>
    <row r="152" spans="1:3" x14ac:dyDescent="0.25">
      <c r="A152" s="53" t="str">
        <f>IF(C152="","",MAX($A$1:A151)+1)</f>
        <v/>
      </c>
      <c r="B152" s="65">
        <v>15</v>
      </c>
      <c r="C152" s="53" t="str">
        <f t="shared" si="12"/>
        <v/>
      </c>
    </row>
    <row r="153" spans="1:3" x14ac:dyDescent="0.25">
      <c r="A153" s="53" t="str">
        <f>IF(C153="","",MAX($A$1:A152)+1)</f>
        <v/>
      </c>
      <c r="B153" s="65">
        <v>15.1</v>
      </c>
      <c r="C153" s="53" t="str">
        <f t="shared" si="12"/>
        <v/>
      </c>
    </row>
    <row r="154" spans="1:3" x14ac:dyDescent="0.25">
      <c r="A154" s="53" t="str">
        <f>IF(C154="","",MAX($A$1:A153)+1)</f>
        <v/>
      </c>
      <c r="B154" s="65">
        <v>15.2</v>
      </c>
      <c r="C154" s="53" t="str">
        <f t="shared" si="12"/>
        <v/>
      </c>
    </row>
    <row r="155" spans="1:3" x14ac:dyDescent="0.25">
      <c r="A155" s="53" t="str">
        <f>IF(C155="","",MAX($A$1:A154)+1)</f>
        <v/>
      </c>
      <c r="B155" s="65">
        <v>15.3</v>
      </c>
      <c r="C155" s="53" t="str">
        <f t="shared" si="12"/>
        <v/>
      </c>
    </row>
    <row r="156" spans="1:3" x14ac:dyDescent="0.25">
      <c r="A156" s="53" t="str">
        <f>IF(C156="","",MAX($A$1:A155)+1)</f>
        <v/>
      </c>
      <c r="B156" s="65">
        <v>15.4</v>
      </c>
      <c r="C156" s="53" t="str">
        <f t="shared" si="12"/>
        <v/>
      </c>
    </row>
    <row r="157" spans="1:3" x14ac:dyDescent="0.25">
      <c r="A157" s="53" t="str">
        <f>IF(C157="","",MAX($A$1:A156)+1)</f>
        <v/>
      </c>
      <c r="B157" s="65">
        <v>15.5</v>
      </c>
      <c r="C157" s="53" t="str">
        <f t="shared" si="12"/>
        <v/>
      </c>
    </row>
    <row r="158" spans="1:3" x14ac:dyDescent="0.25">
      <c r="A158" s="53" t="str">
        <f>IF(C158="","",MAX($A$1:A157)+1)</f>
        <v/>
      </c>
      <c r="B158" s="65">
        <v>15.6</v>
      </c>
      <c r="C158" s="53" t="str">
        <f t="shared" si="12"/>
        <v/>
      </c>
    </row>
    <row r="159" spans="1:3" x14ac:dyDescent="0.25">
      <c r="A159" s="53" t="str">
        <f>IF(C159="","",MAX($A$1:A158)+1)</f>
        <v/>
      </c>
      <c r="B159" s="65">
        <v>15.7</v>
      </c>
      <c r="C159" s="53" t="str">
        <f t="shared" si="12"/>
        <v/>
      </c>
    </row>
    <row r="160" spans="1:3" x14ac:dyDescent="0.25">
      <c r="A160" s="53" t="str">
        <f>IF(C160="","",MAX($A$1:A159)+1)</f>
        <v/>
      </c>
      <c r="B160" s="65">
        <v>15.8</v>
      </c>
      <c r="C160" s="53" t="str">
        <f t="shared" si="12"/>
        <v/>
      </c>
    </row>
    <row r="161" spans="1:3" x14ac:dyDescent="0.25">
      <c r="A161" s="53" t="str">
        <f>IF(C161="","",MAX($A$1:A160)+1)</f>
        <v/>
      </c>
      <c r="B161" s="65">
        <v>15.9</v>
      </c>
      <c r="C161" s="53" t="str">
        <f t="shared" si="12"/>
        <v/>
      </c>
    </row>
    <row r="162" spans="1:3" x14ac:dyDescent="0.25">
      <c r="A162" s="53" t="str">
        <f>IF(C162="","",MAX($A$1:A161)+1)</f>
        <v/>
      </c>
      <c r="B162" s="65">
        <v>16</v>
      </c>
      <c r="C162" s="53" t="str">
        <f t="shared" si="12"/>
        <v/>
      </c>
    </row>
    <row r="163" spans="1:3" x14ac:dyDescent="0.25">
      <c r="A163" s="53" t="str">
        <f>IF(C163="","",MAX($A$1:A162)+1)</f>
        <v/>
      </c>
      <c r="B163" s="65">
        <v>16.100000000000001</v>
      </c>
      <c r="C163" s="53" t="str">
        <f t="shared" si="12"/>
        <v/>
      </c>
    </row>
    <row r="164" spans="1:3" x14ac:dyDescent="0.25">
      <c r="A164" s="53" t="str">
        <f>IF(C164="","",MAX($A$1:A163)+1)</f>
        <v/>
      </c>
      <c r="B164" s="65">
        <v>16.2</v>
      </c>
      <c r="C164" s="53" t="str">
        <f t="shared" si="12"/>
        <v/>
      </c>
    </row>
    <row r="165" spans="1:3" x14ac:dyDescent="0.25">
      <c r="A165" s="53" t="str">
        <f>IF(C165="","",MAX($A$1:A164)+1)</f>
        <v/>
      </c>
      <c r="B165" s="65">
        <v>16.3</v>
      </c>
      <c r="C165" s="53" t="str">
        <f t="shared" si="12"/>
        <v/>
      </c>
    </row>
    <row r="166" spans="1:3" x14ac:dyDescent="0.25">
      <c r="A166" s="53" t="str">
        <f>IF(C166="","",MAX($A$1:A165)+1)</f>
        <v/>
      </c>
      <c r="B166" s="65">
        <v>16.399999999999999</v>
      </c>
      <c r="C166" s="53" t="str">
        <f t="shared" si="12"/>
        <v/>
      </c>
    </row>
    <row r="167" spans="1:3" x14ac:dyDescent="0.25">
      <c r="A167" s="53" t="str">
        <f>IF(C167="","",MAX($A$1:A166)+1)</f>
        <v/>
      </c>
      <c r="B167" s="65">
        <v>16.5</v>
      </c>
      <c r="C167" s="53" t="str">
        <f t="shared" si="12"/>
        <v/>
      </c>
    </row>
    <row r="168" spans="1:3" x14ac:dyDescent="0.25">
      <c r="A168" s="53" t="str">
        <f>IF(C168="","",MAX($A$1:A167)+1)</f>
        <v/>
      </c>
      <c r="B168" s="65">
        <v>16.600000000000001</v>
      </c>
      <c r="C168" s="53" t="str">
        <f t="shared" si="12"/>
        <v/>
      </c>
    </row>
    <row r="169" spans="1:3" x14ac:dyDescent="0.25">
      <c r="A169" s="53" t="str">
        <f>IF(C169="","",MAX($A$1:A168)+1)</f>
        <v/>
      </c>
      <c r="B169" s="65">
        <v>16.7</v>
      </c>
      <c r="C169" s="53" t="str">
        <f t="shared" si="12"/>
        <v/>
      </c>
    </row>
    <row r="170" spans="1:3" x14ac:dyDescent="0.25">
      <c r="A170" s="53" t="str">
        <f>IF(C170="","",MAX($A$1:A169)+1)</f>
        <v/>
      </c>
      <c r="B170" s="65">
        <v>16.8</v>
      </c>
      <c r="C170" s="53" t="str">
        <f t="shared" si="12"/>
        <v/>
      </c>
    </row>
    <row r="171" spans="1:3" x14ac:dyDescent="0.25">
      <c r="A171" s="53" t="str">
        <f>IF(C171="","",MAX($A$1:A170)+1)</f>
        <v/>
      </c>
      <c r="B171" s="65">
        <v>16.899999999999999</v>
      </c>
      <c r="C171" s="53" t="str">
        <f t="shared" si="12"/>
        <v/>
      </c>
    </row>
    <row r="172" spans="1:3" x14ac:dyDescent="0.25">
      <c r="A172" s="53" t="str">
        <f>IF(C172="","",MAX($A$1:A171)+1)</f>
        <v/>
      </c>
      <c r="B172" s="65">
        <v>17</v>
      </c>
      <c r="C172" s="53" t="str">
        <f t="shared" si="12"/>
        <v/>
      </c>
    </row>
    <row r="173" spans="1:3" x14ac:dyDescent="0.25">
      <c r="A173" s="53" t="str">
        <f>IF(C173="","",MAX($A$1:A172)+1)</f>
        <v/>
      </c>
      <c r="B173" s="65">
        <v>17.100000000000001</v>
      </c>
      <c r="C173" s="53" t="str">
        <f t="shared" si="12"/>
        <v/>
      </c>
    </row>
    <row r="174" spans="1:3" x14ac:dyDescent="0.25">
      <c r="A174" s="53" t="str">
        <f>IF(C174="","",MAX($A$1:A173)+1)</f>
        <v/>
      </c>
      <c r="B174" s="65">
        <v>17.2</v>
      </c>
      <c r="C174" s="53" t="str">
        <f t="shared" si="12"/>
        <v/>
      </c>
    </row>
    <row r="175" spans="1:3" x14ac:dyDescent="0.25">
      <c r="A175" s="53" t="str">
        <f>IF(C175="","",MAX($A$1:A174)+1)</f>
        <v/>
      </c>
      <c r="B175" s="65">
        <v>17.3</v>
      </c>
      <c r="C175" s="53" t="str">
        <f t="shared" si="12"/>
        <v/>
      </c>
    </row>
    <row r="176" spans="1:3" x14ac:dyDescent="0.25">
      <c r="A176" s="53" t="str">
        <f>IF(C176="","",MAX($A$1:A175)+1)</f>
        <v/>
      </c>
      <c r="B176" s="65">
        <v>17.399999999999999</v>
      </c>
      <c r="C176" s="53" t="str">
        <f t="shared" si="12"/>
        <v/>
      </c>
    </row>
    <row r="177" spans="1:3" x14ac:dyDescent="0.25">
      <c r="A177" s="53" t="str">
        <f>IF(C177="","",MAX($A$1:A176)+1)</f>
        <v/>
      </c>
      <c r="B177" s="65">
        <v>17.5</v>
      </c>
      <c r="C177" s="53" t="str">
        <f t="shared" si="12"/>
        <v/>
      </c>
    </row>
    <row r="178" spans="1:3" x14ac:dyDescent="0.25">
      <c r="A178" s="53" t="str">
        <f>IF(C178="","",MAX($A$1:A177)+1)</f>
        <v/>
      </c>
      <c r="B178" s="65">
        <v>17.600000000000001</v>
      </c>
      <c r="C178" s="53" t="str">
        <f t="shared" si="12"/>
        <v/>
      </c>
    </row>
    <row r="179" spans="1:3" x14ac:dyDescent="0.25">
      <c r="A179" s="53" t="str">
        <f>IF(C179="","",MAX($A$1:A178)+1)</f>
        <v/>
      </c>
      <c r="B179" s="65">
        <v>17.7</v>
      </c>
      <c r="C179" s="53" t="str">
        <f t="shared" si="12"/>
        <v/>
      </c>
    </row>
    <row r="180" spans="1:3" x14ac:dyDescent="0.25">
      <c r="A180" s="53" t="str">
        <f>IF(C180="","",MAX($A$1:A179)+1)</f>
        <v/>
      </c>
      <c r="B180" s="65">
        <v>17.8</v>
      </c>
      <c r="C180" s="53" t="str">
        <f t="shared" si="12"/>
        <v/>
      </c>
    </row>
    <row r="181" spans="1:3" x14ac:dyDescent="0.25">
      <c r="A181" s="53" t="str">
        <f>IF(C181="","",MAX($A$1:A180)+1)</f>
        <v/>
      </c>
      <c r="B181" s="65">
        <v>17.899999999999999</v>
      </c>
      <c r="C181" s="53" t="str">
        <f t="shared" si="12"/>
        <v/>
      </c>
    </row>
    <row r="182" spans="1:3" x14ac:dyDescent="0.25">
      <c r="A182" s="53" t="str">
        <f>IF(C182="","",MAX($A$1:A181)+1)</f>
        <v/>
      </c>
      <c r="B182" s="65">
        <v>18</v>
      </c>
      <c r="C182" s="53" t="str">
        <f t="shared" si="12"/>
        <v/>
      </c>
    </row>
    <row r="183" spans="1:3" x14ac:dyDescent="0.25">
      <c r="A183" s="53" t="str">
        <f>IF(C183="","",MAX($A$1:A182)+1)</f>
        <v/>
      </c>
      <c r="B183" s="65">
        <v>18.100000000000001</v>
      </c>
      <c r="C183" s="53" t="str">
        <f t="shared" si="12"/>
        <v/>
      </c>
    </row>
    <row r="184" spans="1:3" x14ac:dyDescent="0.25">
      <c r="A184" s="53" t="str">
        <f>IF(C184="","",MAX($A$1:A183)+1)</f>
        <v/>
      </c>
      <c r="B184" s="65">
        <v>18.2</v>
      </c>
      <c r="C184" s="53" t="str">
        <f t="shared" si="12"/>
        <v/>
      </c>
    </row>
    <row r="185" spans="1:3" x14ac:dyDescent="0.25">
      <c r="A185" s="53" t="str">
        <f>IF(C185="","",MAX($A$1:A184)+1)</f>
        <v/>
      </c>
      <c r="B185" s="65">
        <v>18.3</v>
      </c>
      <c r="C185" s="53" t="str">
        <f t="shared" si="12"/>
        <v/>
      </c>
    </row>
    <row r="186" spans="1:3" x14ac:dyDescent="0.25">
      <c r="A186" s="53" t="str">
        <f>IF(C186="","",MAX($A$1:A185)+1)</f>
        <v/>
      </c>
      <c r="B186" s="65">
        <v>18.399999999999999</v>
      </c>
      <c r="C186" s="53" t="str">
        <f t="shared" si="12"/>
        <v/>
      </c>
    </row>
    <row r="187" spans="1:3" x14ac:dyDescent="0.25">
      <c r="A187" s="53" t="str">
        <f>IF(C187="","",MAX($A$1:A186)+1)</f>
        <v/>
      </c>
      <c r="B187" s="65">
        <v>18.5</v>
      </c>
      <c r="C187" s="53" t="str">
        <f t="shared" si="12"/>
        <v/>
      </c>
    </row>
    <row r="188" spans="1:3" x14ac:dyDescent="0.25">
      <c r="A188" s="53" t="str">
        <f>IF(C188="","",MAX($A$1:A187)+1)</f>
        <v/>
      </c>
      <c r="B188" s="65">
        <v>18.600000000000001</v>
      </c>
      <c r="C188" s="53" t="str">
        <f t="shared" si="12"/>
        <v/>
      </c>
    </row>
    <row r="189" spans="1:3" x14ac:dyDescent="0.25">
      <c r="A189" s="53" t="str">
        <f>IF(C189="","",MAX($A$1:A188)+1)</f>
        <v/>
      </c>
      <c r="B189" s="65">
        <v>18.7</v>
      </c>
      <c r="C189" s="53" t="str">
        <f t="shared" si="12"/>
        <v/>
      </c>
    </row>
    <row r="190" spans="1:3" x14ac:dyDescent="0.25">
      <c r="A190" s="53" t="str">
        <f>IF(C190="","",MAX($A$1:A189)+1)</f>
        <v/>
      </c>
      <c r="B190" s="65">
        <v>18.8</v>
      </c>
      <c r="C190" s="53" t="str">
        <f t="shared" si="12"/>
        <v/>
      </c>
    </row>
    <row r="191" spans="1:3" x14ac:dyDescent="0.25">
      <c r="A191" s="53" t="str">
        <f>IF(C191="","",MAX($A$1:A190)+1)</f>
        <v/>
      </c>
      <c r="B191" s="65">
        <v>18.899999999999999</v>
      </c>
      <c r="C191" s="53" t="str">
        <f t="shared" si="12"/>
        <v/>
      </c>
    </row>
    <row r="192" spans="1:3" x14ac:dyDescent="0.25">
      <c r="A192" s="53">
        <f>IF(C192="","",MAX($A$1:A191)+1)</f>
        <v>4</v>
      </c>
      <c r="B192" s="65">
        <v>19</v>
      </c>
      <c r="C192" s="53">
        <f t="shared" si="12"/>
        <v>46.67372881355891</v>
      </c>
    </row>
    <row r="193" spans="1:3" x14ac:dyDescent="0.25">
      <c r="A193" s="53" t="str">
        <f>IF(C193="","",MAX($A$1:A192)+1)</f>
        <v/>
      </c>
      <c r="B193" s="65">
        <v>19.100000000000001</v>
      </c>
      <c r="C193" s="53" t="str">
        <f t="shared" si="12"/>
        <v/>
      </c>
    </row>
    <row r="194" spans="1:3" x14ac:dyDescent="0.25">
      <c r="A194" s="53" t="str">
        <f>IF(C194="","",MAX($A$1:A193)+1)</f>
        <v/>
      </c>
      <c r="B194" s="65">
        <v>19.2</v>
      </c>
      <c r="C194" s="53" t="str">
        <f t="shared" si="12"/>
        <v/>
      </c>
    </row>
    <row r="195" spans="1:3" x14ac:dyDescent="0.25">
      <c r="A195" s="53" t="str">
        <f>IF(C195="","",MAX($A$1:A194)+1)</f>
        <v/>
      </c>
      <c r="B195" s="65">
        <v>19.3</v>
      </c>
      <c r="C195" s="53" t="str">
        <f t="shared" ref="C195:C242" si="13">IF(ISNA(VLOOKUP(B195,$J$2:$M$11,4,FALSE)),IF(ISNA(VLOOKUP(B195,$K$2:$N$11,4,FALSE)),"",VLOOKUP(B195,$K$2:$N$11,4,FALSE)),VLOOKUP(B195,$J$2:$M$11,4,FALSE))</f>
        <v/>
      </c>
    </row>
    <row r="196" spans="1:3" x14ac:dyDescent="0.25">
      <c r="A196" s="53" t="str">
        <f>IF(C196="","",MAX($A$1:A195)+1)</f>
        <v/>
      </c>
      <c r="B196" s="65">
        <v>19.399999999999999</v>
      </c>
      <c r="C196" s="53" t="str">
        <f t="shared" si="13"/>
        <v/>
      </c>
    </row>
    <row r="197" spans="1:3" x14ac:dyDescent="0.25">
      <c r="A197" s="53" t="str">
        <f>IF(C197="","",MAX($A$1:A196)+1)</f>
        <v/>
      </c>
      <c r="B197" s="65">
        <v>19.5</v>
      </c>
      <c r="C197" s="53" t="str">
        <f t="shared" si="13"/>
        <v/>
      </c>
    </row>
    <row r="198" spans="1:3" x14ac:dyDescent="0.25">
      <c r="A198" s="53" t="str">
        <f>IF(C198="","",MAX($A$1:A197)+1)</f>
        <v/>
      </c>
      <c r="B198" s="65">
        <v>19.600000000000001</v>
      </c>
      <c r="C198" s="53" t="str">
        <f t="shared" si="13"/>
        <v/>
      </c>
    </row>
    <row r="199" spans="1:3" x14ac:dyDescent="0.25">
      <c r="A199" s="53" t="str">
        <f>IF(C199="","",MAX($A$1:A198)+1)</f>
        <v/>
      </c>
      <c r="B199" s="65">
        <v>19.7</v>
      </c>
      <c r="C199" s="53" t="str">
        <f t="shared" si="13"/>
        <v/>
      </c>
    </row>
    <row r="200" spans="1:3" x14ac:dyDescent="0.25">
      <c r="A200" s="53" t="str">
        <f>IF(C200="","",MAX($A$1:A199)+1)</f>
        <v/>
      </c>
      <c r="B200" s="65">
        <v>19.8</v>
      </c>
      <c r="C200" s="53" t="str">
        <f t="shared" si="13"/>
        <v/>
      </c>
    </row>
    <row r="201" spans="1:3" x14ac:dyDescent="0.25">
      <c r="A201" s="53" t="str">
        <f>IF(C201="","",MAX($A$1:A200)+1)</f>
        <v/>
      </c>
      <c r="B201" s="65">
        <v>19.899999999999999</v>
      </c>
      <c r="C201" s="53" t="str">
        <f t="shared" si="13"/>
        <v/>
      </c>
    </row>
    <row r="202" spans="1:3" x14ac:dyDescent="0.25">
      <c r="A202" s="53" t="str">
        <f>IF(C202="","",MAX($A$1:A201)+1)</f>
        <v/>
      </c>
      <c r="B202" s="65">
        <v>20</v>
      </c>
      <c r="C202" s="53" t="str">
        <f t="shared" si="13"/>
        <v/>
      </c>
    </row>
    <row r="203" spans="1:3" x14ac:dyDescent="0.25">
      <c r="A203" s="53" t="str">
        <f>IF(C203="","",MAX($A$1:A202)+1)</f>
        <v/>
      </c>
      <c r="B203" s="65">
        <v>20.100000000000001</v>
      </c>
      <c r="C203" s="53" t="str">
        <f t="shared" si="13"/>
        <v/>
      </c>
    </row>
    <row r="204" spans="1:3" x14ac:dyDescent="0.25">
      <c r="A204" s="53" t="str">
        <f>IF(C204="","",MAX($A$1:A203)+1)</f>
        <v/>
      </c>
      <c r="B204" s="65">
        <v>20.2</v>
      </c>
      <c r="C204" s="53" t="str">
        <f t="shared" si="13"/>
        <v/>
      </c>
    </row>
    <row r="205" spans="1:3" x14ac:dyDescent="0.25">
      <c r="A205" s="53" t="str">
        <f>IF(C205="","",MAX($A$1:A204)+1)</f>
        <v/>
      </c>
      <c r="B205" s="65">
        <v>20.3</v>
      </c>
      <c r="C205" s="53" t="str">
        <f t="shared" si="13"/>
        <v/>
      </c>
    </row>
    <row r="206" spans="1:3" x14ac:dyDescent="0.25">
      <c r="A206" s="53" t="str">
        <f>IF(C206="","",MAX($A$1:A205)+1)</f>
        <v/>
      </c>
      <c r="B206" s="65">
        <v>20.399999999999999</v>
      </c>
      <c r="C206" s="53" t="str">
        <f t="shared" si="13"/>
        <v/>
      </c>
    </row>
    <row r="207" spans="1:3" x14ac:dyDescent="0.25">
      <c r="A207" s="53" t="str">
        <f>IF(C207="","",MAX($A$1:A206)+1)</f>
        <v/>
      </c>
      <c r="B207" s="65">
        <v>20.5</v>
      </c>
      <c r="C207" s="53" t="str">
        <f t="shared" si="13"/>
        <v/>
      </c>
    </row>
    <row r="208" spans="1:3" x14ac:dyDescent="0.25">
      <c r="A208" s="53" t="str">
        <f>IF(C208="","",MAX($A$1:A207)+1)</f>
        <v/>
      </c>
      <c r="B208" s="65">
        <v>20.6</v>
      </c>
      <c r="C208" s="53" t="str">
        <f t="shared" si="13"/>
        <v/>
      </c>
    </row>
    <row r="209" spans="1:3" x14ac:dyDescent="0.25">
      <c r="A209" s="53">
        <f>IF(C209="","",MAX($A$1:A208)+1)</f>
        <v>5</v>
      </c>
      <c r="B209" s="65">
        <v>20.7</v>
      </c>
      <c r="C209" s="53">
        <f t="shared" si="13"/>
        <v>84.749735169488673</v>
      </c>
    </row>
    <row r="210" spans="1:3" x14ac:dyDescent="0.25">
      <c r="A210" s="53" t="str">
        <f>IF(C210="","",MAX($A$1:A209)+1)</f>
        <v/>
      </c>
      <c r="B210" s="65">
        <v>20.8</v>
      </c>
      <c r="C210" s="53" t="str">
        <f t="shared" si="13"/>
        <v/>
      </c>
    </row>
    <row r="211" spans="1:3" x14ac:dyDescent="0.25">
      <c r="A211" s="53" t="str">
        <f>IF(C211="","",MAX($A$1:A210)+1)</f>
        <v/>
      </c>
      <c r="B211" s="65">
        <v>20.9</v>
      </c>
      <c r="C211" s="53" t="str">
        <f t="shared" si="13"/>
        <v/>
      </c>
    </row>
    <row r="212" spans="1:3" x14ac:dyDescent="0.25">
      <c r="A212" s="53" t="str">
        <f>IF(C212="","",MAX($A$1:A211)+1)</f>
        <v/>
      </c>
      <c r="B212" s="65">
        <v>21</v>
      </c>
      <c r="C212" s="53" t="str">
        <f t="shared" si="13"/>
        <v/>
      </c>
    </row>
    <row r="213" spans="1:3" x14ac:dyDescent="0.25">
      <c r="A213" s="53" t="str">
        <f>IF(C213="","",MAX($A$1:A212)+1)</f>
        <v/>
      </c>
      <c r="B213" s="65">
        <v>21.1</v>
      </c>
      <c r="C213" s="53" t="str">
        <f t="shared" si="13"/>
        <v/>
      </c>
    </row>
    <row r="214" spans="1:3" x14ac:dyDescent="0.25">
      <c r="A214" s="53" t="str">
        <f>IF(C214="","",MAX($A$1:A213)+1)</f>
        <v/>
      </c>
      <c r="B214" s="65">
        <v>21.2</v>
      </c>
      <c r="C214" s="53" t="str">
        <f t="shared" si="13"/>
        <v/>
      </c>
    </row>
    <row r="215" spans="1:3" x14ac:dyDescent="0.25">
      <c r="A215" s="53" t="str">
        <f>IF(C215="","",MAX($A$1:A214)+1)</f>
        <v/>
      </c>
      <c r="B215" s="65">
        <v>21.3</v>
      </c>
      <c r="C215" s="53" t="str">
        <f t="shared" si="13"/>
        <v/>
      </c>
    </row>
    <row r="216" spans="1:3" x14ac:dyDescent="0.25">
      <c r="A216" s="53" t="str">
        <f>IF(C216="","",MAX($A$1:A215)+1)</f>
        <v/>
      </c>
      <c r="B216" s="65">
        <v>21.4</v>
      </c>
      <c r="C216" s="53" t="str">
        <f t="shared" si="13"/>
        <v/>
      </c>
    </row>
    <row r="217" spans="1:3" x14ac:dyDescent="0.25">
      <c r="A217" s="53" t="str">
        <f>IF(C217="","",MAX($A$1:A216)+1)</f>
        <v/>
      </c>
      <c r="B217" s="65">
        <v>21.5</v>
      </c>
      <c r="C217" s="53" t="str">
        <f t="shared" si="13"/>
        <v/>
      </c>
    </row>
    <row r="218" spans="1:3" x14ac:dyDescent="0.25">
      <c r="A218" s="53" t="str">
        <f>IF(C218="","",MAX($A$1:A217)+1)</f>
        <v/>
      </c>
      <c r="B218" s="65">
        <v>21.6</v>
      </c>
      <c r="C218" s="53" t="str">
        <f t="shared" si="13"/>
        <v/>
      </c>
    </row>
    <row r="219" spans="1:3" x14ac:dyDescent="0.25">
      <c r="A219" s="53" t="str">
        <f>IF(C219="","",MAX($A$1:A218)+1)</f>
        <v/>
      </c>
      <c r="B219" s="65">
        <v>21.7</v>
      </c>
      <c r="C219" s="53" t="str">
        <f t="shared" si="13"/>
        <v/>
      </c>
    </row>
    <row r="220" spans="1:3" x14ac:dyDescent="0.25">
      <c r="A220" s="53" t="str">
        <f>IF(C220="","",MAX($A$1:A219)+1)</f>
        <v/>
      </c>
      <c r="B220" s="65">
        <v>21.8</v>
      </c>
      <c r="C220" s="53" t="str">
        <f t="shared" si="13"/>
        <v/>
      </c>
    </row>
    <row r="221" spans="1:3" x14ac:dyDescent="0.25">
      <c r="A221" s="53" t="str">
        <f>IF(C221="","",MAX($A$1:A220)+1)</f>
        <v/>
      </c>
      <c r="B221" s="65">
        <v>21.9</v>
      </c>
      <c r="C221" s="53" t="str">
        <f t="shared" si="13"/>
        <v/>
      </c>
    </row>
    <row r="222" spans="1:3" x14ac:dyDescent="0.25">
      <c r="A222" s="53" t="str">
        <f>IF(C222="","",MAX($A$1:A221)+1)</f>
        <v/>
      </c>
      <c r="B222" s="65">
        <v>22</v>
      </c>
      <c r="C222" s="53" t="str">
        <f t="shared" si="13"/>
        <v/>
      </c>
    </row>
    <row r="223" spans="1:3" x14ac:dyDescent="0.25">
      <c r="A223" s="53" t="str">
        <f>IF(C223="","",MAX($A$1:A222)+1)</f>
        <v/>
      </c>
      <c r="B223" s="65">
        <v>22.1</v>
      </c>
      <c r="C223" s="53" t="str">
        <f t="shared" si="13"/>
        <v/>
      </c>
    </row>
    <row r="224" spans="1:3" x14ac:dyDescent="0.25">
      <c r="A224" s="53" t="str">
        <f>IF(C224="","",MAX($A$1:A223)+1)</f>
        <v/>
      </c>
      <c r="B224" s="65">
        <v>22.2</v>
      </c>
      <c r="C224" s="53" t="str">
        <f t="shared" si="13"/>
        <v/>
      </c>
    </row>
    <row r="225" spans="1:3" x14ac:dyDescent="0.25">
      <c r="A225" s="53" t="str">
        <f>IF(C225="","",MAX($A$1:A224)+1)</f>
        <v/>
      </c>
      <c r="B225" s="65">
        <v>22.3</v>
      </c>
      <c r="C225" s="53" t="str">
        <f t="shared" si="13"/>
        <v/>
      </c>
    </row>
    <row r="226" spans="1:3" x14ac:dyDescent="0.25">
      <c r="A226" s="53" t="str">
        <f>IF(C226="","",MAX($A$1:A225)+1)</f>
        <v/>
      </c>
      <c r="B226" s="65">
        <v>22.4</v>
      </c>
      <c r="C226" s="53" t="str">
        <f t="shared" si="13"/>
        <v/>
      </c>
    </row>
    <row r="227" spans="1:3" x14ac:dyDescent="0.25">
      <c r="A227" s="53" t="str">
        <f>IF(C227="","",MAX($A$1:A226)+1)</f>
        <v/>
      </c>
      <c r="B227" s="65">
        <v>22.5</v>
      </c>
      <c r="C227" s="53" t="str">
        <f t="shared" si="13"/>
        <v/>
      </c>
    </row>
    <row r="228" spans="1:3" x14ac:dyDescent="0.25">
      <c r="A228" s="53" t="str">
        <f>IF(C228="","",MAX($A$1:A227)+1)</f>
        <v/>
      </c>
      <c r="B228" s="65">
        <v>22.6</v>
      </c>
      <c r="C228" s="53" t="str">
        <f t="shared" si="13"/>
        <v/>
      </c>
    </row>
    <row r="229" spans="1:3" x14ac:dyDescent="0.25">
      <c r="A229" s="53" t="str">
        <f>IF(C229="","",MAX($A$1:A228)+1)</f>
        <v/>
      </c>
      <c r="B229" s="65">
        <v>22.7</v>
      </c>
      <c r="C229" s="53" t="str">
        <f t="shared" si="13"/>
        <v/>
      </c>
    </row>
    <row r="230" spans="1:3" x14ac:dyDescent="0.25">
      <c r="A230" s="53" t="str">
        <f>IF(C230="","",MAX($A$1:A229)+1)</f>
        <v/>
      </c>
      <c r="B230" s="65">
        <v>22.8</v>
      </c>
      <c r="C230" s="53" t="str">
        <f t="shared" si="13"/>
        <v/>
      </c>
    </row>
    <row r="231" spans="1:3" x14ac:dyDescent="0.25">
      <c r="A231" s="53" t="str">
        <f>IF(C231="","",MAX($A$1:A230)+1)</f>
        <v/>
      </c>
      <c r="B231" s="65">
        <v>22.9</v>
      </c>
      <c r="C231" s="53" t="str">
        <f t="shared" si="13"/>
        <v/>
      </c>
    </row>
    <row r="232" spans="1:3" x14ac:dyDescent="0.25">
      <c r="A232" s="53" t="str">
        <f>IF(C232="","",MAX($A$1:A231)+1)</f>
        <v/>
      </c>
      <c r="B232" s="65">
        <v>23</v>
      </c>
      <c r="C232" s="53" t="str">
        <f t="shared" si="13"/>
        <v/>
      </c>
    </row>
    <row r="233" spans="1:3" x14ac:dyDescent="0.25">
      <c r="A233" s="53" t="str">
        <f>IF(C233="","",MAX($A$1:A232)+1)</f>
        <v/>
      </c>
      <c r="B233" s="65">
        <v>23.1</v>
      </c>
      <c r="C233" s="53" t="str">
        <f t="shared" si="13"/>
        <v/>
      </c>
    </row>
    <row r="234" spans="1:3" x14ac:dyDescent="0.25">
      <c r="A234" s="53" t="str">
        <f>IF(C234="","",MAX($A$1:A233)+1)</f>
        <v/>
      </c>
      <c r="B234" s="65">
        <v>23.2</v>
      </c>
      <c r="C234" s="53" t="str">
        <f t="shared" si="13"/>
        <v/>
      </c>
    </row>
    <row r="235" spans="1:3" x14ac:dyDescent="0.25">
      <c r="A235" s="53" t="str">
        <f>IF(C235="","",MAX($A$1:A234)+1)</f>
        <v/>
      </c>
      <c r="B235" s="65">
        <v>23.3</v>
      </c>
      <c r="C235" s="53" t="str">
        <f t="shared" si="13"/>
        <v/>
      </c>
    </row>
    <row r="236" spans="1:3" x14ac:dyDescent="0.25">
      <c r="A236" s="53" t="str">
        <f>IF(C236="","",MAX($A$1:A235)+1)</f>
        <v/>
      </c>
      <c r="B236" s="65">
        <v>23.4</v>
      </c>
      <c r="C236" s="53" t="str">
        <f t="shared" si="13"/>
        <v/>
      </c>
    </row>
    <row r="237" spans="1:3" x14ac:dyDescent="0.25">
      <c r="A237" s="53" t="str">
        <f>IF(C237="","",MAX($A$1:A236)+1)</f>
        <v/>
      </c>
      <c r="B237" s="65">
        <v>23.5</v>
      </c>
      <c r="C237" s="53" t="str">
        <f t="shared" si="13"/>
        <v/>
      </c>
    </row>
    <row r="238" spans="1:3" x14ac:dyDescent="0.25">
      <c r="A238" s="53" t="str">
        <f>IF(C238="","",MAX($A$1:A237)+1)</f>
        <v/>
      </c>
      <c r="B238" s="65">
        <v>23.6</v>
      </c>
      <c r="C238" s="53" t="str">
        <f t="shared" si="13"/>
        <v/>
      </c>
    </row>
    <row r="239" spans="1:3" x14ac:dyDescent="0.25">
      <c r="A239" s="53" t="str">
        <f>IF(C239="","",MAX($A$1:A238)+1)</f>
        <v/>
      </c>
      <c r="B239" s="65">
        <v>23.7</v>
      </c>
      <c r="C239" s="53" t="str">
        <f t="shared" si="13"/>
        <v/>
      </c>
    </row>
    <row r="240" spans="1:3" x14ac:dyDescent="0.25">
      <c r="A240" s="53" t="str">
        <f>IF(C240="","",MAX($A$1:A239)+1)</f>
        <v/>
      </c>
      <c r="B240" s="65">
        <v>23.8</v>
      </c>
      <c r="C240" s="53" t="str">
        <f t="shared" si="13"/>
        <v/>
      </c>
    </row>
    <row r="241" spans="1:3" x14ac:dyDescent="0.25">
      <c r="A241" s="53" t="str">
        <f>IF(C241="","",MAX($A$1:A240)+1)</f>
        <v/>
      </c>
      <c r="B241" s="65">
        <v>23.9</v>
      </c>
      <c r="C241" s="53" t="str">
        <f t="shared" si="13"/>
        <v/>
      </c>
    </row>
    <row r="242" spans="1:3" x14ac:dyDescent="0.25">
      <c r="A242" s="53">
        <f>IF(C242="","",MAX($A$1:A241)+1)</f>
        <v>6</v>
      </c>
      <c r="B242" s="65">
        <v>24</v>
      </c>
      <c r="C242" s="53">
        <f t="shared" si="13"/>
        <v>75.311175847455374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E53"/>
  <sheetViews>
    <sheetView topLeftCell="A10" workbookViewId="0">
      <selection activeCell="D44" sqref="D44"/>
    </sheetView>
  </sheetViews>
  <sheetFormatPr defaultRowHeight="15" x14ac:dyDescent="0.25"/>
  <cols>
    <col min="1" max="1" width="48.28515625" customWidth="1"/>
    <col min="2" max="2" width="10.7109375" customWidth="1"/>
    <col min="4" max="4" width="34.7109375" customWidth="1"/>
  </cols>
  <sheetData>
    <row r="1" spans="1:2" x14ac:dyDescent="0.25">
      <c r="A1" s="14" t="s">
        <v>32</v>
      </c>
      <c r="B1" s="1"/>
    </row>
    <row r="2" spans="1:2" x14ac:dyDescent="0.25">
      <c r="A2" s="14" t="s">
        <v>33</v>
      </c>
      <c r="B2" s="1"/>
    </row>
    <row r="3" spans="1:2" x14ac:dyDescent="0.25">
      <c r="A3" s="14" t="s">
        <v>34</v>
      </c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A10" s="16" t="s">
        <v>41</v>
      </c>
      <c r="B10" s="16"/>
    </row>
    <row r="11" spans="1:2" x14ac:dyDescent="0.25">
      <c r="A11" s="17" t="s">
        <v>35</v>
      </c>
      <c r="B11" s="8">
        <v>10</v>
      </c>
    </row>
    <row r="12" spans="1:2" x14ac:dyDescent="0.25">
      <c r="A12" s="17" t="s">
        <v>36</v>
      </c>
      <c r="B12" s="8">
        <v>0.05</v>
      </c>
    </row>
    <row r="13" spans="1:2" x14ac:dyDescent="0.25">
      <c r="A13" s="17" t="s">
        <v>37</v>
      </c>
      <c r="B13" s="8">
        <v>5</v>
      </c>
    </row>
    <row r="14" spans="1:2" x14ac:dyDescent="0.25">
      <c r="A14" s="17" t="s">
        <v>38</v>
      </c>
      <c r="B14" s="18">
        <f>3.14*B12*B15</f>
        <v>2</v>
      </c>
    </row>
    <row r="15" spans="1:2" x14ac:dyDescent="0.25">
      <c r="A15" s="17" t="s">
        <v>39</v>
      </c>
      <c r="B15" s="18">
        <f>B11/(3.14*B12*B13)</f>
        <v>12.738853503184711</v>
      </c>
    </row>
    <row r="16" spans="1:2" x14ac:dyDescent="0.25">
      <c r="B16" s="12"/>
    </row>
    <row r="17" spans="1:4" x14ac:dyDescent="0.25">
      <c r="B17" s="12"/>
    </row>
    <row r="18" spans="1:4" ht="15.75" thickBot="1" x14ac:dyDescent="0.3">
      <c r="B18" s="12"/>
    </row>
    <row r="19" spans="1:4" x14ac:dyDescent="0.25">
      <c r="A19" s="15" t="s">
        <v>40</v>
      </c>
      <c r="B19" s="19"/>
    </row>
    <row r="20" spans="1:4" x14ac:dyDescent="0.25">
      <c r="A20" s="17" t="s">
        <v>35</v>
      </c>
      <c r="B20" s="8">
        <v>10</v>
      </c>
    </row>
    <row r="21" spans="1:4" x14ac:dyDescent="0.25">
      <c r="A21" s="17" t="s">
        <v>36</v>
      </c>
      <c r="B21" s="8">
        <v>0.04</v>
      </c>
    </row>
    <row r="22" spans="1:4" x14ac:dyDescent="0.25">
      <c r="A22" s="17" t="s">
        <v>37</v>
      </c>
      <c r="B22" s="8">
        <v>40</v>
      </c>
    </row>
    <row r="23" spans="1:4" x14ac:dyDescent="0.25">
      <c r="A23" s="17" t="s">
        <v>38</v>
      </c>
      <c r="B23" s="18">
        <f>3.14*B21*B24</f>
        <v>0.25</v>
      </c>
    </row>
    <row r="24" spans="1:4" x14ac:dyDescent="0.25">
      <c r="A24" s="17" t="s">
        <v>39</v>
      </c>
      <c r="B24" s="18">
        <f>B20/(3.14*B21*B22)</f>
        <v>1.9904458598726111</v>
      </c>
    </row>
    <row r="25" spans="1:4" x14ac:dyDescent="0.25">
      <c r="B25" s="1"/>
    </row>
    <row r="30" spans="1:4" x14ac:dyDescent="0.25">
      <c r="A30" t="s">
        <v>99</v>
      </c>
    </row>
    <row r="31" spans="1:4" x14ac:dyDescent="0.25">
      <c r="A31" s="108" t="s">
        <v>100</v>
      </c>
      <c r="D31" s="112" t="s">
        <v>104</v>
      </c>
    </row>
    <row r="33" spans="4:5" x14ac:dyDescent="0.25">
      <c r="D33" t="s">
        <v>105</v>
      </c>
      <c r="E33" s="113">
        <f>Теплоакумулятор!B54</f>
        <v>49.0000000000014</v>
      </c>
    </row>
    <row r="34" spans="4:5" x14ac:dyDescent="0.25">
      <c r="D34" t="s">
        <v>106</v>
      </c>
      <c r="E34" s="113">
        <f>Теплоакумулятор!B55</f>
        <v>108.33333333334198</v>
      </c>
    </row>
    <row r="49" spans="1:3" ht="45" x14ac:dyDescent="0.25">
      <c r="A49" s="7"/>
      <c r="B49" s="79" t="s">
        <v>108</v>
      </c>
      <c r="C49" s="79" t="s">
        <v>107</v>
      </c>
    </row>
    <row r="50" spans="1:3" x14ac:dyDescent="0.25">
      <c r="A50" s="109" t="s">
        <v>101</v>
      </c>
      <c r="B50" s="109">
        <v>4</v>
      </c>
      <c r="C50" s="109">
        <v>4</v>
      </c>
    </row>
    <row r="51" spans="1:3" x14ac:dyDescent="0.25">
      <c r="A51" s="109" t="s">
        <v>109</v>
      </c>
      <c r="B51" s="109">
        <v>500</v>
      </c>
      <c r="C51" s="109">
        <v>100</v>
      </c>
    </row>
    <row r="52" spans="1:3" x14ac:dyDescent="0.25">
      <c r="A52" s="109" t="s">
        <v>103</v>
      </c>
      <c r="B52" s="109">
        <v>70</v>
      </c>
      <c r="C52" s="109">
        <v>40</v>
      </c>
    </row>
    <row r="53" spans="1:3" x14ac:dyDescent="0.25">
      <c r="A53" s="110" t="s">
        <v>102</v>
      </c>
      <c r="B53" s="111">
        <f>(13.96*(B51-B52)*B50)/1000</f>
        <v>24.011200000000002</v>
      </c>
      <c r="C53" s="111">
        <f>(13.96*(C51-C52)*C50)/1000</f>
        <v>3.3504</v>
      </c>
    </row>
  </sheetData>
  <hyperlinks>
    <hyperlink ref="A3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Теплоакумулятор</vt:lpstr>
      <vt:lpstr>Расчеты</vt:lpstr>
      <vt:lpstr>Теплообменник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Andrus63</dc:creator>
  <cp:lastModifiedBy>user</cp:lastModifiedBy>
  <dcterms:created xsi:type="dcterms:W3CDTF">2015-10-05T05:12:26Z</dcterms:created>
  <dcterms:modified xsi:type="dcterms:W3CDTF">2015-10-31T11:22:15Z</dcterms:modified>
</cp:coreProperties>
</file>